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codeName="ThisWorkbook"/>
  <mc:AlternateContent xmlns:mc="http://schemas.openxmlformats.org/markup-compatibility/2006">
    <mc:Choice Requires="x15">
      <x15ac:absPath xmlns:x15ac="http://schemas.microsoft.com/office/spreadsheetml/2010/11/ac" url="\\NASKOEI\common-koei\20 水道事業課\10 水道用水供給事業\30 水道 管理担当\20 水質管理関係\60 事業年報\令和５年度版\03 年報作成\④庄内\"/>
    </mc:Choice>
  </mc:AlternateContent>
  <xr:revisionPtr revIDLastSave="0" documentId="13_ncr:1_{4B64F41F-A821-496D-8850-3C46E259EF88}" xr6:coauthVersionLast="36" xr6:coauthVersionMax="47" xr10:uidLastSave="{00000000-0000-0000-0000-000000000000}"/>
  <bookViews>
    <workbookView xWindow="765" yWindow="765" windowWidth="23205" windowHeight="15915" tabRatio="819" xr2:uid="{00000000-000D-0000-FFFF-FFFF00000000}"/>
  </bookViews>
  <sheets>
    <sheet name="計画" sheetId="37" r:id="rId1"/>
    <sheet name="毎日検査" sheetId="26" r:id="rId2"/>
    <sheet name="田沢川" sheetId="34" r:id="rId3"/>
    <sheet name="ダム" sheetId="18" r:id="rId4"/>
    <sheet name="原水（基準等） " sheetId="9" r:id="rId5"/>
    <sheet name="原水（他）" sheetId="16" r:id="rId6"/>
    <sheet name="原水（農薬）" sheetId="36" r:id="rId7"/>
    <sheet name="沈殿水" sheetId="31" r:id="rId8"/>
    <sheet name="ろ過水" sheetId="32" r:id="rId9"/>
    <sheet name="浄水（基準）" sheetId="11" r:id="rId10"/>
    <sheet name="浄水（他）" sheetId="7" r:id="rId11"/>
    <sheet name="浄水（農薬）" sheetId="35" r:id="rId12"/>
    <sheet name="松山（基準）" sheetId="12" r:id="rId13"/>
    <sheet name="松山（他）" sheetId="33" r:id="rId14"/>
    <sheet name="酒田（基準）" sheetId="10" r:id="rId15"/>
    <sheet name="平田（基準）" sheetId="6" r:id="rId16"/>
  </sheets>
  <definedNames>
    <definedName name="_xlnm.Print_Area" localSheetId="3">ダム!$B$1:$S$81</definedName>
    <definedName name="_xlnm.Print_Area" localSheetId="8">ろ過水!$A$1:$M$67</definedName>
    <definedName name="_xlnm.Print_Area" localSheetId="0">計画!$B$1:$R$45</definedName>
    <definedName name="_xlnm.Print_Area" localSheetId="4">'原水（基準等） '!$B$1:$U$83</definedName>
    <definedName name="_xlnm.Print_Area" localSheetId="5">'原水（他）'!$B$1:$Q$45</definedName>
    <definedName name="_xlnm.Print_Area" localSheetId="6">'原水（農薬）'!$B$1:$X$74</definedName>
    <definedName name="_xlnm.Print_Area" localSheetId="14">'酒田（基準）'!$B$1:$U$68</definedName>
    <definedName name="_xlnm.Print_Area" localSheetId="12">'松山（基準）'!$B$1:$U$68</definedName>
    <definedName name="_xlnm.Print_Area" localSheetId="13">'松山（他）'!$A$1:$M$46</definedName>
    <definedName name="_xlnm.Print_Area" localSheetId="9">'浄水（基準）'!$B$1:$U$68</definedName>
    <definedName name="_xlnm.Print_Area" localSheetId="10">'浄水（他）'!$B$1:$Q$46</definedName>
    <definedName name="_xlnm.Print_Area" localSheetId="11">'浄水（農薬）'!$B$1:$X$74</definedName>
    <definedName name="_xlnm.Print_Area" localSheetId="7">沈殿水!$A$1:$M$67</definedName>
    <definedName name="_xlnm.Print_Area" localSheetId="2">田沢川!$A$1:$M$77</definedName>
    <definedName name="_xlnm.Print_Area" localSheetId="15">'平田（基準）'!$B$1:$U$68</definedName>
    <definedName name="_xlnm.Print_Area" localSheetId="1">毎日検査!$A$1:$O$41</definedName>
  </definedNames>
  <calcPr calcId="191029"/>
</workbook>
</file>

<file path=xl/calcChain.xml><?xml version="1.0" encoding="utf-8"?>
<calcChain xmlns="http://schemas.openxmlformats.org/spreadsheetml/2006/main">
  <c r="T29" i="10" l="1"/>
  <c r="S29" i="10"/>
  <c r="R30" i="11" l="1"/>
  <c r="R30" i="9"/>
  <c r="R30" i="6"/>
  <c r="T29" i="6"/>
  <c r="S29" i="6"/>
  <c r="R29" i="6"/>
  <c r="R29" i="10"/>
  <c r="R30" i="10"/>
  <c r="R30" i="12" l="1"/>
  <c r="T24" i="12"/>
  <c r="L36" i="31" l="1"/>
  <c r="L59" i="31"/>
  <c r="P14" i="16"/>
  <c r="M33" i="7" l="1"/>
  <c r="L51" i="34" l="1"/>
  <c r="L50" i="34"/>
  <c r="L49" i="34"/>
  <c r="L46" i="34"/>
  <c r="L23" i="34"/>
  <c r="R68" i="18" l="1"/>
  <c r="Q70" i="18"/>
  <c r="Q69" i="18"/>
  <c r="Q68" i="18"/>
  <c r="Q67" i="18"/>
  <c r="Q66" i="18"/>
  <c r="Q62" i="18"/>
  <c r="Q51" i="18"/>
  <c r="Q58" i="18"/>
  <c r="Q52" i="18"/>
  <c r="Q46" i="18"/>
  <c r="Q23" i="18"/>
  <c r="Q50" i="18"/>
  <c r="R52" i="18"/>
  <c r="K46" i="34"/>
  <c r="K49" i="34"/>
  <c r="K50" i="34"/>
  <c r="K51" i="34"/>
  <c r="K52" i="34"/>
  <c r="K62" i="34"/>
  <c r="K67" i="34"/>
  <c r="K72" i="34"/>
  <c r="K69" i="34"/>
  <c r="K70" i="34"/>
  <c r="K71" i="34"/>
  <c r="H11" i="33" l="1"/>
  <c r="H10" i="33"/>
  <c r="H9" i="33"/>
  <c r="H8" i="33"/>
  <c r="H7" i="33"/>
  <c r="H6" i="33"/>
  <c r="L38" i="16"/>
  <c r="W11" i="36" l="1"/>
  <c r="W10" i="36"/>
  <c r="W9" i="36"/>
  <c r="W8" i="36"/>
  <c r="W7" i="36"/>
  <c r="W6" i="36"/>
  <c r="I39" i="7" l="1"/>
  <c r="U11" i="36"/>
  <c r="U10" i="36"/>
  <c r="U9" i="36"/>
  <c r="U8" i="36"/>
  <c r="U7" i="36"/>
  <c r="U6" i="36"/>
  <c r="U12" i="35" l="1"/>
  <c r="W12" i="35"/>
  <c r="U11" i="35"/>
  <c r="W11" i="35"/>
  <c r="U10" i="35"/>
  <c r="W10" i="35"/>
  <c r="U9" i="35"/>
  <c r="W9" i="35"/>
  <c r="U8" i="35"/>
  <c r="W8" i="35"/>
  <c r="U7" i="35"/>
  <c r="W7" i="35"/>
  <c r="U6" i="35"/>
  <c r="W6" i="35"/>
  <c r="S11" i="35"/>
  <c r="S12" i="35"/>
  <c r="S10" i="35"/>
  <c r="S8" i="35"/>
  <c r="S9" i="35"/>
  <c r="S7" i="35"/>
  <c r="S6" i="35"/>
  <c r="M12" i="7"/>
  <c r="M25" i="7" s="1"/>
  <c r="M11" i="7"/>
  <c r="M10" i="7"/>
  <c r="M9" i="7"/>
  <c r="M8" i="7"/>
  <c r="M7" i="7"/>
  <c r="M6" i="7"/>
  <c r="H12" i="7"/>
  <c r="H25" i="7" s="1"/>
  <c r="I12" i="7"/>
  <c r="I25" i="7" s="1"/>
  <c r="J12" i="7"/>
  <c r="J25" i="7" s="1"/>
  <c r="K12" i="7"/>
  <c r="K25" i="7" s="1"/>
  <c r="L12" i="7"/>
  <c r="L25" i="7" s="1"/>
  <c r="H11" i="7"/>
  <c r="I11" i="7"/>
  <c r="J11" i="7"/>
  <c r="K11" i="7"/>
  <c r="L11" i="7"/>
  <c r="H10" i="7"/>
  <c r="I10" i="7"/>
  <c r="J10" i="7"/>
  <c r="K10" i="7"/>
  <c r="L10" i="7"/>
  <c r="H9" i="7"/>
  <c r="I9" i="7"/>
  <c r="J9" i="7"/>
  <c r="K9" i="7"/>
  <c r="L9" i="7"/>
  <c r="H8" i="7"/>
  <c r="I8" i="7"/>
  <c r="J8" i="7"/>
  <c r="K8" i="7"/>
  <c r="L8" i="7"/>
  <c r="H7" i="7"/>
  <c r="I7" i="7"/>
  <c r="J7" i="7"/>
  <c r="K7" i="7"/>
  <c r="L7" i="7"/>
  <c r="H6" i="7"/>
  <c r="I6" i="7"/>
  <c r="J6" i="7"/>
  <c r="K6" i="7"/>
  <c r="L6" i="7"/>
  <c r="G11" i="7"/>
  <c r="G12" i="7"/>
  <c r="G25" i="7" s="1"/>
  <c r="G10" i="7"/>
  <c r="G8" i="7"/>
  <c r="G9" i="7"/>
  <c r="G7" i="7"/>
  <c r="G6" i="7"/>
  <c r="S11" i="36"/>
  <c r="S12" i="36"/>
  <c r="S10" i="36"/>
  <c r="S8" i="36"/>
  <c r="S9" i="36"/>
  <c r="S7" i="36"/>
  <c r="S6" i="36"/>
  <c r="H11" i="16" l="1"/>
  <c r="I11" i="16"/>
  <c r="J11" i="16"/>
  <c r="K11" i="16"/>
  <c r="L11" i="16"/>
  <c r="H10" i="16"/>
  <c r="I10" i="16"/>
  <c r="J10" i="16"/>
  <c r="K10" i="16"/>
  <c r="L10" i="16"/>
  <c r="H9" i="16"/>
  <c r="I9" i="16"/>
  <c r="J9" i="16"/>
  <c r="K9" i="16"/>
  <c r="L9" i="16"/>
  <c r="H8" i="16"/>
  <c r="I8" i="16"/>
  <c r="J8" i="16"/>
  <c r="K8" i="16"/>
  <c r="L8" i="16"/>
  <c r="H7" i="16"/>
  <c r="I7" i="16"/>
  <c r="J7" i="16"/>
  <c r="K7" i="16"/>
  <c r="L7" i="16"/>
  <c r="M8" i="16"/>
  <c r="M9" i="16"/>
  <c r="M10" i="16"/>
  <c r="M11" i="16"/>
  <c r="M7" i="16"/>
  <c r="M6" i="16"/>
  <c r="H6" i="16"/>
  <c r="I6" i="16"/>
  <c r="J6" i="16"/>
  <c r="K6" i="16"/>
  <c r="L6" i="16"/>
  <c r="F11" i="16"/>
  <c r="F10" i="16"/>
  <c r="F9" i="16"/>
  <c r="F8" i="16"/>
  <c r="F7" i="16"/>
  <c r="F6" i="16"/>
  <c r="G8" i="16"/>
  <c r="G9" i="16"/>
  <c r="G10" i="16"/>
  <c r="G11" i="16"/>
  <c r="G7" i="16"/>
  <c r="G6" i="16"/>
  <c r="F12" i="7"/>
  <c r="I33" i="7" l="1"/>
  <c r="L33" i="7"/>
  <c r="F33" i="7"/>
  <c r="F26" i="7"/>
  <c r="I39" i="33" l="1"/>
  <c r="I35" i="33"/>
  <c r="I34" i="33"/>
  <c r="I33" i="33"/>
  <c r="I27" i="33"/>
  <c r="I26" i="33"/>
  <c r="I12" i="33"/>
  <c r="I25" i="33" s="1"/>
  <c r="H39" i="33"/>
  <c r="H35" i="33"/>
  <c r="H34" i="33"/>
  <c r="H33" i="33"/>
  <c r="H27" i="33"/>
  <c r="H26" i="33"/>
  <c r="H12" i="33"/>
  <c r="H25" i="33" s="1"/>
  <c r="G39" i="33"/>
  <c r="G35" i="33"/>
  <c r="G34" i="33"/>
  <c r="G33" i="33"/>
  <c r="G27" i="33"/>
  <c r="G26" i="33"/>
  <c r="G12" i="33"/>
  <c r="G25" i="33" s="1"/>
  <c r="F39" i="33"/>
  <c r="F35" i="33"/>
  <c r="F34" i="33"/>
  <c r="F33" i="33"/>
  <c r="F27" i="33"/>
  <c r="F26" i="33"/>
  <c r="F12" i="33"/>
  <c r="F25" i="33" s="1"/>
  <c r="M34" i="16"/>
  <c r="M33" i="16"/>
  <c r="M32" i="16"/>
  <c r="M26" i="16"/>
  <c r="M25" i="16"/>
  <c r="M35" i="7"/>
  <c r="H35" i="7"/>
  <c r="I35" i="7"/>
  <c r="J35" i="7"/>
  <c r="K35" i="7"/>
  <c r="L35" i="7"/>
  <c r="G35" i="7"/>
  <c r="F35" i="7"/>
  <c r="M34" i="7"/>
  <c r="M27" i="7"/>
  <c r="M26" i="7"/>
  <c r="H34" i="7"/>
  <c r="I34" i="7"/>
  <c r="J34" i="7"/>
  <c r="K34" i="7"/>
  <c r="L34" i="7"/>
  <c r="G34" i="7"/>
  <c r="F34" i="7"/>
  <c r="I27" i="7"/>
  <c r="L27" i="7"/>
  <c r="F27" i="7"/>
  <c r="I26" i="7"/>
  <c r="L26" i="7"/>
  <c r="F25" i="7"/>
  <c r="F38" i="16"/>
  <c r="H34" i="16"/>
  <c r="I34" i="16"/>
  <c r="J34" i="16"/>
  <c r="K34" i="16"/>
  <c r="L34" i="16"/>
  <c r="G34" i="16"/>
  <c r="F34" i="16"/>
  <c r="H33" i="16"/>
  <c r="I33" i="16"/>
  <c r="J33" i="16"/>
  <c r="K33" i="16"/>
  <c r="L33" i="16"/>
  <c r="G33" i="16"/>
  <c r="F33" i="16"/>
  <c r="I32" i="16"/>
  <c r="L32" i="16"/>
  <c r="I25" i="16"/>
  <c r="L25" i="16"/>
  <c r="I26" i="16"/>
  <c r="L26" i="16"/>
  <c r="F32" i="16"/>
  <c r="F26" i="16"/>
  <c r="F25" i="16"/>
  <c r="T46" i="9" l="1"/>
  <c r="P33" i="16" l="1"/>
  <c r="P63" i="18" l="1"/>
  <c r="T50" i="9" l="1"/>
  <c r="R71" i="18" l="1"/>
  <c r="J14" i="33" l="1"/>
  <c r="K14" i="33"/>
  <c r="L14" i="33"/>
  <c r="J15" i="33"/>
  <c r="K15" i="33"/>
  <c r="L15" i="33"/>
  <c r="T78" i="9" l="1"/>
  <c r="T75" i="9"/>
  <c r="Q73" i="18"/>
  <c r="Q75" i="18"/>
  <c r="Q74" i="18"/>
  <c r="P62" i="18" l="1"/>
  <c r="J37" i="31"/>
  <c r="K37" i="31"/>
  <c r="J65" i="34"/>
  <c r="L13" i="34"/>
  <c r="L74" i="34"/>
  <c r="K74" i="34"/>
  <c r="J74" i="34"/>
  <c r="L73" i="34"/>
  <c r="K73" i="34"/>
  <c r="J73" i="34"/>
  <c r="L72" i="34"/>
  <c r="J72" i="34"/>
  <c r="L71" i="34"/>
  <c r="J71" i="34"/>
  <c r="L70" i="34"/>
  <c r="J70" i="34"/>
  <c r="L69" i="34"/>
  <c r="J69" i="34"/>
  <c r="L68" i="34"/>
  <c r="K68" i="34"/>
  <c r="J68" i="34"/>
  <c r="L67" i="34"/>
  <c r="J67" i="34"/>
  <c r="L66" i="34"/>
  <c r="K66" i="34"/>
  <c r="J66" i="34"/>
  <c r="L65" i="34"/>
  <c r="K65" i="34"/>
  <c r="L63" i="34"/>
  <c r="K63" i="34"/>
  <c r="J63" i="34"/>
  <c r="L62" i="34"/>
  <c r="J62" i="34"/>
  <c r="L59" i="34"/>
  <c r="K59" i="34"/>
  <c r="J59" i="34"/>
  <c r="L58" i="34"/>
  <c r="K58" i="34"/>
  <c r="J58" i="34"/>
  <c r="L52" i="34"/>
  <c r="J52" i="34"/>
  <c r="J51" i="34"/>
  <c r="J50" i="34"/>
  <c r="J49" i="34"/>
  <c r="J46" i="34"/>
  <c r="K23" i="34"/>
  <c r="J23" i="34"/>
  <c r="B14" i="34"/>
  <c r="B15" i="34" s="1"/>
  <c r="B16" i="34" s="1"/>
  <c r="B17" i="34" s="1"/>
  <c r="B18" i="34" s="1"/>
  <c r="B19" i="34" s="1"/>
  <c r="B20" i="34" s="1"/>
  <c r="B21" i="34" s="1"/>
  <c r="B22" i="34" s="1"/>
  <c r="B23" i="34" s="1"/>
  <c r="B24" i="34" s="1"/>
  <c r="B25" i="34" s="1"/>
  <c r="B26" i="34" s="1"/>
  <c r="B27" i="34" s="1"/>
  <c r="B28" i="34" s="1"/>
  <c r="B29" i="34" s="1"/>
  <c r="B30" i="34" s="1"/>
  <c r="B31" i="34" s="1"/>
  <c r="B32" i="34" s="1"/>
  <c r="B33" i="34" s="1"/>
  <c r="B34" i="34" s="1"/>
  <c r="B35" i="34" s="1"/>
  <c r="B36" i="34" s="1"/>
  <c r="B37" i="34" s="1"/>
  <c r="B38" i="34" s="1"/>
  <c r="B39" i="34" s="1"/>
  <c r="B40" i="34" s="1"/>
  <c r="B41" i="34" s="1"/>
  <c r="B42" i="34" s="1"/>
  <c r="B43" i="34" s="1"/>
  <c r="B44" i="34" s="1"/>
  <c r="B45" i="34" s="1"/>
  <c r="B46" i="34" s="1"/>
  <c r="B47" i="34" s="1"/>
  <c r="B48" i="34" s="1"/>
  <c r="B49" i="34" s="1"/>
  <c r="B50" i="34" s="1"/>
  <c r="B51" i="34" s="1"/>
  <c r="B52" i="34" s="1"/>
  <c r="B53" i="34" s="1"/>
  <c r="B54" i="34" s="1"/>
  <c r="B55" i="34" s="1"/>
  <c r="B56" i="34" s="1"/>
  <c r="B57" i="34" s="1"/>
  <c r="B58" i="34" s="1"/>
  <c r="B59" i="34" s="1"/>
  <c r="B60" i="34" s="1"/>
  <c r="B61" i="34" s="1"/>
  <c r="B62" i="34" s="1"/>
  <c r="B63" i="34" s="1"/>
  <c r="K13" i="34"/>
  <c r="J13" i="34"/>
  <c r="L11" i="34"/>
  <c r="K11" i="34"/>
  <c r="J11" i="34"/>
  <c r="L10" i="34"/>
  <c r="K10" i="34"/>
  <c r="J10" i="34"/>
  <c r="T21" i="12"/>
  <c r="S21" i="12"/>
  <c r="R21" i="12"/>
  <c r="T21" i="11"/>
  <c r="S21" i="11"/>
  <c r="R21" i="11"/>
  <c r="T20" i="9"/>
  <c r="S20" i="9"/>
  <c r="R20" i="9"/>
  <c r="T24" i="6"/>
  <c r="T21" i="6"/>
  <c r="S21" i="6"/>
  <c r="R21" i="6"/>
  <c r="T24" i="10"/>
  <c r="T21" i="10"/>
  <c r="S21" i="10"/>
  <c r="R21" i="10"/>
  <c r="K18" i="33"/>
  <c r="J18" i="33"/>
  <c r="S24" i="12"/>
  <c r="R24" i="12"/>
  <c r="L39" i="33"/>
  <c r="K39" i="33"/>
  <c r="J39" i="33"/>
  <c r="L38" i="33"/>
  <c r="K38" i="33"/>
  <c r="J38" i="33"/>
  <c r="L37" i="33"/>
  <c r="K37" i="33"/>
  <c r="J37" i="33"/>
  <c r="L36" i="33"/>
  <c r="K36" i="33"/>
  <c r="J36" i="33"/>
  <c r="L35" i="33"/>
  <c r="K35" i="33"/>
  <c r="J35" i="33"/>
  <c r="L34" i="33"/>
  <c r="K34" i="33"/>
  <c r="J34" i="33"/>
  <c r="L33" i="33"/>
  <c r="K33" i="33"/>
  <c r="J33" i="33"/>
  <c r="L32" i="33"/>
  <c r="K32" i="33"/>
  <c r="J32" i="33"/>
  <c r="L30" i="33"/>
  <c r="K30" i="33"/>
  <c r="J30" i="33"/>
  <c r="L29" i="33"/>
  <c r="K29" i="33"/>
  <c r="J29" i="33"/>
  <c r="L28" i="33"/>
  <c r="K28" i="33"/>
  <c r="J28" i="33"/>
  <c r="L27" i="33"/>
  <c r="K27" i="33"/>
  <c r="J27" i="33"/>
  <c r="L26" i="33"/>
  <c r="K26" i="33"/>
  <c r="J26" i="33"/>
  <c r="L25" i="33"/>
  <c r="K25" i="33"/>
  <c r="J25" i="33"/>
  <c r="L23" i="33"/>
  <c r="K23" i="33"/>
  <c r="J23" i="33"/>
  <c r="L22" i="33"/>
  <c r="K22" i="33"/>
  <c r="J22" i="33"/>
  <c r="L19" i="33"/>
  <c r="K19" i="33"/>
  <c r="J19" i="33"/>
  <c r="L18" i="33"/>
  <c r="L17" i="33"/>
  <c r="K17" i="33"/>
  <c r="J17" i="33"/>
  <c r="L16" i="33"/>
  <c r="K16" i="33"/>
  <c r="J16" i="33"/>
  <c r="T64" i="6"/>
  <c r="S64" i="6"/>
  <c r="R64" i="6"/>
  <c r="T63" i="6"/>
  <c r="S63" i="6"/>
  <c r="R63" i="6"/>
  <c r="T60" i="6"/>
  <c r="S60" i="6"/>
  <c r="R60" i="6"/>
  <c r="T59" i="6"/>
  <c r="S59" i="6"/>
  <c r="R59" i="6"/>
  <c r="T58" i="6"/>
  <c r="S58" i="6"/>
  <c r="R58" i="6"/>
  <c r="T57" i="6"/>
  <c r="S57" i="6"/>
  <c r="R57" i="6"/>
  <c r="T56" i="6"/>
  <c r="S56" i="6"/>
  <c r="R56" i="6"/>
  <c r="T55" i="6"/>
  <c r="S55" i="6"/>
  <c r="R55" i="6"/>
  <c r="T54" i="6"/>
  <c r="S54" i="6"/>
  <c r="R54" i="6"/>
  <c r="T53" i="6"/>
  <c r="S53" i="6"/>
  <c r="R53" i="6"/>
  <c r="T52" i="6"/>
  <c r="S52" i="6"/>
  <c r="R52" i="6"/>
  <c r="T51" i="6"/>
  <c r="S51" i="6"/>
  <c r="R51" i="6"/>
  <c r="T50" i="6"/>
  <c r="S50" i="6"/>
  <c r="R50" i="6"/>
  <c r="T49" i="6"/>
  <c r="S49" i="6"/>
  <c r="R49" i="6"/>
  <c r="T48" i="6"/>
  <c r="S48" i="6"/>
  <c r="R48" i="6"/>
  <c r="T47" i="6"/>
  <c r="S47" i="6"/>
  <c r="R47" i="6"/>
  <c r="T46" i="6"/>
  <c r="S46" i="6"/>
  <c r="R46" i="6"/>
  <c r="T45" i="6"/>
  <c r="S45" i="6"/>
  <c r="R45" i="6"/>
  <c r="T44" i="6"/>
  <c r="S44" i="6"/>
  <c r="R44" i="6"/>
  <c r="T43" i="6"/>
  <c r="S43" i="6"/>
  <c r="R43" i="6"/>
  <c r="T42" i="6"/>
  <c r="S42" i="6"/>
  <c r="R42" i="6"/>
  <c r="T41" i="6"/>
  <c r="S41" i="6"/>
  <c r="R41" i="6"/>
  <c r="T40" i="6"/>
  <c r="S40" i="6"/>
  <c r="R40" i="6"/>
  <c r="T39" i="6"/>
  <c r="S39" i="6"/>
  <c r="R39" i="6"/>
  <c r="T38" i="6"/>
  <c r="S38" i="6"/>
  <c r="R38" i="6"/>
  <c r="T37" i="6"/>
  <c r="S37" i="6"/>
  <c r="R37" i="6"/>
  <c r="T36" i="6"/>
  <c r="S36" i="6"/>
  <c r="R36" i="6"/>
  <c r="T35" i="6"/>
  <c r="S35" i="6"/>
  <c r="R35" i="6"/>
  <c r="T34" i="6"/>
  <c r="S34" i="6"/>
  <c r="R34" i="6"/>
  <c r="T33" i="6"/>
  <c r="S33" i="6"/>
  <c r="R33" i="6"/>
  <c r="T32" i="6"/>
  <c r="S32" i="6"/>
  <c r="R32" i="6"/>
  <c r="T31" i="6"/>
  <c r="S31" i="6"/>
  <c r="R31" i="6"/>
  <c r="T30" i="6"/>
  <c r="S30" i="6"/>
  <c r="T28" i="6"/>
  <c r="S28" i="6"/>
  <c r="R28" i="6"/>
  <c r="T27" i="6"/>
  <c r="S27" i="6"/>
  <c r="R27" i="6"/>
  <c r="T26" i="6"/>
  <c r="S26" i="6"/>
  <c r="R26" i="6"/>
  <c r="T25" i="6"/>
  <c r="S25" i="6"/>
  <c r="R25" i="6"/>
  <c r="S24" i="6"/>
  <c r="R24" i="6"/>
  <c r="T23" i="6"/>
  <c r="S23" i="6"/>
  <c r="R23" i="6"/>
  <c r="T22" i="6"/>
  <c r="S22" i="6"/>
  <c r="R22" i="6"/>
  <c r="T20" i="6"/>
  <c r="S20" i="6"/>
  <c r="R20" i="6"/>
  <c r="T19" i="6"/>
  <c r="S19" i="6"/>
  <c r="R19" i="6"/>
  <c r="T18" i="6"/>
  <c r="S18" i="6"/>
  <c r="R18" i="6"/>
  <c r="T17" i="6"/>
  <c r="S17" i="6"/>
  <c r="R17" i="6"/>
  <c r="T16" i="6"/>
  <c r="S16" i="6"/>
  <c r="R16" i="6"/>
  <c r="T14" i="6"/>
  <c r="S14" i="6"/>
  <c r="R14" i="6"/>
  <c r="T64" i="10"/>
  <c r="S64" i="10"/>
  <c r="R64" i="10"/>
  <c r="T63" i="10"/>
  <c r="S63" i="10"/>
  <c r="R63" i="10"/>
  <c r="T60" i="10"/>
  <c r="S60" i="10"/>
  <c r="R60" i="10"/>
  <c r="T59" i="10"/>
  <c r="S59" i="10"/>
  <c r="R59" i="10"/>
  <c r="T58" i="10"/>
  <c r="S58" i="10"/>
  <c r="R58" i="10"/>
  <c r="T57" i="10"/>
  <c r="S57" i="10"/>
  <c r="R57" i="10"/>
  <c r="T56" i="10"/>
  <c r="S56" i="10"/>
  <c r="R56" i="10"/>
  <c r="T55" i="10"/>
  <c r="S55" i="10"/>
  <c r="R55" i="10"/>
  <c r="T54" i="10"/>
  <c r="S54" i="10"/>
  <c r="R54" i="10"/>
  <c r="T53" i="10"/>
  <c r="S53" i="10"/>
  <c r="R53" i="10"/>
  <c r="T52" i="10"/>
  <c r="S52" i="10"/>
  <c r="R52" i="10"/>
  <c r="T51" i="10"/>
  <c r="S51" i="10"/>
  <c r="R51" i="10"/>
  <c r="T50" i="10"/>
  <c r="S50" i="10"/>
  <c r="R50" i="10"/>
  <c r="T49" i="10"/>
  <c r="S49" i="10"/>
  <c r="R49" i="10"/>
  <c r="T48" i="10"/>
  <c r="S48" i="10"/>
  <c r="R48" i="10"/>
  <c r="T47" i="10"/>
  <c r="S47" i="10"/>
  <c r="R47" i="10"/>
  <c r="T46" i="10"/>
  <c r="S46" i="10"/>
  <c r="R46" i="10"/>
  <c r="T45" i="10"/>
  <c r="S45" i="10"/>
  <c r="R45" i="10"/>
  <c r="T44" i="10"/>
  <c r="S44" i="10"/>
  <c r="R44" i="10"/>
  <c r="T43" i="10"/>
  <c r="S43" i="10"/>
  <c r="R43" i="10"/>
  <c r="T42" i="10"/>
  <c r="S42" i="10"/>
  <c r="R42" i="10"/>
  <c r="T41" i="10"/>
  <c r="S41" i="10"/>
  <c r="R41" i="10"/>
  <c r="T40" i="10"/>
  <c r="S40" i="10"/>
  <c r="R40" i="10"/>
  <c r="T39" i="10"/>
  <c r="S39" i="10"/>
  <c r="R39" i="10"/>
  <c r="T38" i="10"/>
  <c r="S38" i="10"/>
  <c r="R38" i="10"/>
  <c r="T37" i="10"/>
  <c r="S37" i="10"/>
  <c r="R37" i="10"/>
  <c r="T36" i="10"/>
  <c r="S36" i="10"/>
  <c r="R36" i="10"/>
  <c r="T35" i="10"/>
  <c r="S35" i="10"/>
  <c r="R35" i="10"/>
  <c r="T34" i="10"/>
  <c r="S34" i="10"/>
  <c r="R34" i="10"/>
  <c r="T33" i="10"/>
  <c r="S33" i="10"/>
  <c r="R33" i="10"/>
  <c r="T32" i="10"/>
  <c r="S32" i="10"/>
  <c r="R32" i="10"/>
  <c r="T31" i="10"/>
  <c r="S31" i="10"/>
  <c r="R31" i="10"/>
  <c r="T30" i="10"/>
  <c r="S30" i="10"/>
  <c r="T28" i="10"/>
  <c r="S28" i="10"/>
  <c r="R28" i="10"/>
  <c r="T27" i="10"/>
  <c r="S27" i="10"/>
  <c r="R27" i="10"/>
  <c r="T26" i="10"/>
  <c r="S26" i="10"/>
  <c r="R26" i="10"/>
  <c r="T25" i="10"/>
  <c r="S25" i="10"/>
  <c r="R25" i="10"/>
  <c r="S24" i="10"/>
  <c r="R24" i="10"/>
  <c r="T23" i="10"/>
  <c r="S23" i="10"/>
  <c r="R23" i="10"/>
  <c r="T22" i="10"/>
  <c r="S22" i="10"/>
  <c r="R22" i="10"/>
  <c r="T20" i="10"/>
  <c r="S20" i="10"/>
  <c r="R20" i="10"/>
  <c r="T19" i="10"/>
  <c r="S19" i="10"/>
  <c r="R19" i="10"/>
  <c r="T18" i="10"/>
  <c r="S18" i="10"/>
  <c r="R18" i="10"/>
  <c r="T17" i="10"/>
  <c r="S17" i="10"/>
  <c r="R17" i="10"/>
  <c r="T16" i="10"/>
  <c r="S16" i="10"/>
  <c r="R16" i="10"/>
  <c r="T14" i="10"/>
  <c r="S14" i="10"/>
  <c r="R14" i="10"/>
  <c r="L40" i="33"/>
  <c r="K40" i="33"/>
  <c r="J40" i="33"/>
  <c r="P40" i="7"/>
  <c r="O40" i="7"/>
  <c r="N40" i="7"/>
  <c r="P39" i="16"/>
  <c r="O39" i="16"/>
  <c r="N39" i="16"/>
  <c r="T65" i="9"/>
  <c r="P10" i="18"/>
  <c r="S78" i="9"/>
  <c r="R78" i="9"/>
  <c r="S65" i="9"/>
  <c r="R65" i="9"/>
  <c r="R75" i="18"/>
  <c r="P75" i="18"/>
  <c r="R65" i="18"/>
  <c r="Q65" i="18"/>
  <c r="P65" i="18"/>
  <c r="P14" i="7"/>
  <c r="O14" i="7"/>
  <c r="N14" i="7"/>
  <c r="P13" i="16"/>
  <c r="O13" i="16"/>
  <c r="N13" i="16"/>
  <c r="T28" i="9"/>
  <c r="S28" i="9"/>
  <c r="R28" i="9"/>
  <c r="T46" i="12"/>
  <c r="S46" i="12"/>
  <c r="R46" i="12"/>
  <c r="T50" i="12"/>
  <c r="S50" i="12"/>
  <c r="R50" i="12"/>
  <c r="T64" i="12"/>
  <c r="S64" i="12"/>
  <c r="R64" i="12"/>
  <c r="T50" i="11"/>
  <c r="S50" i="11"/>
  <c r="R50" i="11"/>
  <c r="T46" i="11"/>
  <c r="S46" i="11"/>
  <c r="R46" i="11"/>
  <c r="J64" i="32"/>
  <c r="K64" i="32"/>
  <c r="L64" i="32"/>
  <c r="L50" i="32"/>
  <c r="K50" i="32"/>
  <c r="J50" i="32"/>
  <c r="L46" i="32"/>
  <c r="K46" i="32"/>
  <c r="J46" i="32"/>
  <c r="L46" i="31"/>
  <c r="K46" i="31"/>
  <c r="J46" i="31"/>
  <c r="L50" i="31"/>
  <c r="K50" i="31"/>
  <c r="J50" i="31"/>
  <c r="P39" i="7"/>
  <c r="O39" i="7"/>
  <c r="N39" i="7"/>
  <c r="P27" i="7"/>
  <c r="O27" i="7"/>
  <c r="N27" i="7"/>
  <c r="P34" i="7"/>
  <c r="O34" i="7"/>
  <c r="N34" i="7"/>
  <c r="T64" i="11"/>
  <c r="S64" i="11"/>
  <c r="R64" i="11"/>
  <c r="Q72" i="18"/>
  <c r="R23" i="18"/>
  <c r="P23" i="18"/>
  <c r="T48" i="12"/>
  <c r="S48" i="12"/>
  <c r="R48" i="12"/>
  <c r="T47" i="12"/>
  <c r="S47" i="12"/>
  <c r="R47" i="12"/>
  <c r="T45" i="12"/>
  <c r="S45" i="12"/>
  <c r="R45" i="12"/>
  <c r="T41" i="12"/>
  <c r="S41" i="12"/>
  <c r="R41" i="12"/>
  <c r="R38" i="12"/>
  <c r="S38" i="12"/>
  <c r="T37" i="12"/>
  <c r="S37" i="12"/>
  <c r="R37" i="12"/>
  <c r="T29" i="12"/>
  <c r="S29" i="12"/>
  <c r="R29" i="12"/>
  <c r="T26" i="12"/>
  <c r="S26" i="12"/>
  <c r="R26" i="12"/>
  <c r="P38" i="7"/>
  <c r="O38" i="7"/>
  <c r="N38" i="7"/>
  <c r="P30" i="7"/>
  <c r="O30" i="7"/>
  <c r="N30" i="7"/>
  <c r="P19" i="7"/>
  <c r="O19" i="7"/>
  <c r="N19" i="7"/>
  <c r="P18" i="7"/>
  <c r="O18" i="7"/>
  <c r="N18" i="7"/>
  <c r="P16" i="7"/>
  <c r="O16" i="7"/>
  <c r="N16" i="7"/>
  <c r="T24" i="11"/>
  <c r="S24" i="11"/>
  <c r="R24" i="11"/>
  <c r="J37" i="32"/>
  <c r="J36" i="32"/>
  <c r="T57" i="11"/>
  <c r="S57" i="11"/>
  <c r="R57" i="11"/>
  <c r="T48" i="11"/>
  <c r="S48" i="11"/>
  <c r="R48" i="11"/>
  <c r="T47" i="11"/>
  <c r="S47" i="11"/>
  <c r="R47" i="11"/>
  <c r="T45" i="11"/>
  <c r="S45" i="11"/>
  <c r="R45" i="11"/>
  <c r="T41" i="11"/>
  <c r="S41" i="11"/>
  <c r="R41" i="11"/>
  <c r="T40" i="11"/>
  <c r="S40" i="11"/>
  <c r="R40" i="11"/>
  <c r="T37" i="11"/>
  <c r="S37" i="11"/>
  <c r="R37" i="11"/>
  <c r="T29" i="11"/>
  <c r="S29" i="11"/>
  <c r="R29" i="11"/>
  <c r="T26" i="11"/>
  <c r="S26" i="11"/>
  <c r="R26" i="11"/>
  <c r="J47" i="32"/>
  <c r="L59" i="32"/>
  <c r="K59" i="32"/>
  <c r="J59" i="32"/>
  <c r="L47" i="32"/>
  <c r="K47" i="32"/>
  <c r="L44" i="32"/>
  <c r="K44" i="32"/>
  <c r="J44" i="32"/>
  <c r="L43" i="32"/>
  <c r="K43" i="32"/>
  <c r="J43" i="32"/>
  <c r="L42" i="32"/>
  <c r="K42" i="32"/>
  <c r="J42" i="32"/>
  <c r="L41" i="32"/>
  <c r="K41" i="32"/>
  <c r="J41" i="32"/>
  <c r="L40" i="32"/>
  <c r="K40" i="32"/>
  <c r="J40" i="32"/>
  <c r="L39" i="32"/>
  <c r="K39" i="32"/>
  <c r="J39" i="32"/>
  <c r="L38" i="32"/>
  <c r="K38" i="32"/>
  <c r="J38" i="32"/>
  <c r="L37" i="32"/>
  <c r="K37" i="32"/>
  <c r="L36" i="32"/>
  <c r="K36" i="32"/>
  <c r="L35" i="32"/>
  <c r="K35" i="32"/>
  <c r="J35" i="32"/>
  <c r="L34" i="32"/>
  <c r="K34" i="32"/>
  <c r="J34" i="32"/>
  <c r="L47" i="31"/>
  <c r="J47" i="31"/>
  <c r="K47" i="31"/>
  <c r="L41" i="31"/>
  <c r="K41" i="31"/>
  <c r="J41" i="31"/>
  <c r="L40" i="31"/>
  <c r="K40" i="31"/>
  <c r="J40" i="31"/>
  <c r="L37" i="31"/>
  <c r="P37" i="16"/>
  <c r="O37" i="16"/>
  <c r="N37" i="16"/>
  <c r="P29" i="16"/>
  <c r="O29" i="16"/>
  <c r="N29" i="16"/>
  <c r="P18" i="16"/>
  <c r="O18" i="16"/>
  <c r="N18" i="16"/>
  <c r="P17" i="16"/>
  <c r="O17" i="16"/>
  <c r="N17" i="16"/>
  <c r="P15" i="16"/>
  <c r="O15" i="16"/>
  <c r="N15" i="16"/>
  <c r="T56" i="9"/>
  <c r="S56" i="9"/>
  <c r="R56" i="9"/>
  <c r="T47" i="9"/>
  <c r="S47" i="9"/>
  <c r="R47" i="9"/>
  <c r="T44" i="9"/>
  <c r="S44" i="9"/>
  <c r="R44" i="9"/>
  <c r="T25" i="9"/>
  <c r="S25" i="9"/>
  <c r="R25" i="9"/>
  <c r="T23" i="9"/>
  <c r="R23" i="9"/>
  <c r="S23" i="9"/>
  <c r="R21" i="9"/>
  <c r="S21" i="9"/>
  <c r="T21" i="9"/>
  <c r="S49" i="12"/>
  <c r="T57" i="12"/>
  <c r="S57" i="12"/>
  <c r="R57" i="12"/>
  <c r="Q78" i="18"/>
  <c r="L63" i="32"/>
  <c r="K63" i="32"/>
  <c r="J63" i="32"/>
  <c r="L12" i="32"/>
  <c r="K12" i="32"/>
  <c r="J12" i="32"/>
  <c r="L11" i="32"/>
  <c r="K11" i="32"/>
  <c r="J11" i="32"/>
  <c r="L10" i="32"/>
  <c r="K10" i="32"/>
  <c r="J10" i="32"/>
  <c r="L64" i="31"/>
  <c r="K64" i="31"/>
  <c r="J64" i="31"/>
  <c r="L63" i="31"/>
  <c r="K63" i="31"/>
  <c r="J63" i="31"/>
  <c r="K59" i="31"/>
  <c r="J59" i="31"/>
  <c r="L44" i="31"/>
  <c r="K44" i="31"/>
  <c r="J44" i="31"/>
  <c r="L43" i="31"/>
  <c r="K43" i="31"/>
  <c r="J43" i="31"/>
  <c r="L42" i="31"/>
  <c r="K42" i="31"/>
  <c r="J42" i="31"/>
  <c r="L39" i="31"/>
  <c r="K39" i="31"/>
  <c r="J39" i="31"/>
  <c r="L38" i="31"/>
  <c r="K38" i="31"/>
  <c r="J38" i="31"/>
  <c r="K36" i="31"/>
  <c r="J36" i="31"/>
  <c r="L35" i="31"/>
  <c r="K35" i="31"/>
  <c r="J35" i="31"/>
  <c r="L34" i="31"/>
  <c r="K34" i="31"/>
  <c r="J34" i="31"/>
  <c r="B15" i="31"/>
  <c r="B16" i="31"/>
  <c r="B17" i="31"/>
  <c r="B18" i="31" s="1"/>
  <c r="B19" i="31" s="1"/>
  <c r="B20" i="31" s="1"/>
  <c r="B21" i="31" s="1"/>
  <c r="B22" i="31" s="1"/>
  <c r="B23" i="31" s="1"/>
  <c r="B24" i="31" s="1"/>
  <c r="B25" i="31" s="1"/>
  <c r="B26" i="31" s="1"/>
  <c r="B27" i="31" s="1"/>
  <c r="B28" i="31" s="1"/>
  <c r="B29" i="31" s="1"/>
  <c r="B30" i="31" s="1"/>
  <c r="B31" i="31" s="1"/>
  <c r="B32" i="31" s="1"/>
  <c r="B33" i="31" s="1"/>
  <c r="B34" i="31" s="1"/>
  <c r="B35" i="31" s="1"/>
  <c r="B36" i="31" s="1"/>
  <c r="B37" i="31" s="1"/>
  <c r="B38" i="31" s="1"/>
  <c r="B39" i="31" s="1"/>
  <c r="B40" i="31" s="1"/>
  <c r="B41" i="31" s="1"/>
  <c r="B42" i="31" s="1"/>
  <c r="B43" i="31" s="1"/>
  <c r="B44" i="31" s="1"/>
  <c r="B45" i="31" s="1"/>
  <c r="B46" i="31" s="1"/>
  <c r="B47" i="31" s="1"/>
  <c r="B48" i="31" s="1"/>
  <c r="B49" i="31" s="1"/>
  <c r="B50" i="31" s="1"/>
  <c r="B51" i="31" s="1"/>
  <c r="B52" i="31" s="1"/>
  <c r="B53" i="31" s="1"/>
  <c r="B54" i="31" s="1"/>
  <c r="B55" i="31" s="1"/>
  <c r="B56" i="31" s="1"/>
  <c r="B57" i="31" s="1"/>
  <c r="B58" i="31" s="1"/>
  <c r="B59" i="31" s="1"/>
  <c r="B60" i="31" s="1"/>
  <c r="B61" i="31" s="1"/>
  <c r="B62" i="31" s="1"/>
  <c r="B63" i="31" s="1"/>
  <c r="B64" i="31" s="1"/>
  <c r="L12" i="31"/>
  <c r="K12" i="31"/>
  <c r="J12" i="31"/>
  <c r="L11" i="31"/>
  <c r="K11" i="31"/>
  <c r="J11" i="31"/>
  <c r="L10" i="31"/>
  <c r="K10" i="31"/>
  <c r="J10" i="31"/>
  <c r="N24" i="7"/>
  <c r="O24" i="7"/>
  <c r="P24" i="7"/>
  <c r="P23" i="16"/>
  <c r="O23" i="16"/>
  <c r="N23" i="16"/>
  <c r="P36" i="16"/>
  <c r="P76" i="18"/>
  <c r="P32" i="16"/>
  <c r="O32" i="16"/>
  <c r="N32" i="16"/>
  <c r="O25" i="16"/>
  <c r="N25" i="16"/>
  <c r="T48" i="9"/>
  <c r="S48" i="9"/>
  <c r="R48" i="9"/>
  <c r="P33" i="7"/>
  <c r="O33" i="7"/>
  <c r="N33" i="7"/>
  <c r="P28" i="7"/>
  <c r="O28" i="7"/>
  <c r="N28" i="7"/>
  <c r="P26" i="7"/>
  <c r="O26" i="7"/>
  <c r="N26" i="7"/>
  <c r="R51" i="18"/>
  <c r="P51" i="18"/>
  <c r="T63" i="12"/>
  <c r="S63" i="12"/>
  <c r="R63" i="12"/>
  <c r="T60" i="12"/>
  <c r="S60" i="12"/>
  <c r="R60" i="12"/>
  <c r="T59" i="12"/>
  <c r="S59" i="12"/>
  <c r="R59" i="12"/>
  <c r="T58" i="12"/>
  <c r="S58" i="12"/>
  <c r="R58" i="12"/>
  <c r="T56" i="12"/>
  <c r="S56" i="12"/>
  <c r="R56" i="12"/>
  <c r="T55" i="12"/>
  <c r="S55" i="12"/>
  <c r="R55" i="12"/>
  <c r="T54" i="12"/>
  <c r="S54" i="12"/>
  <c r="R54" i="12"/>
  <c r="T53" i="12"/>
  <c r="S53" i="12"/>
  <c r="R53" i="12"/>
  <c r="T52" i="12"/>
  <c r="S52" i="12"/>
  <c r="R52" i="12"/>
  <c r="T51" i="12"/>
  <c r="S51" i="12"/>
  <c r="R51" i="12"/>
  <c r="T49" i="12"/>
  <c r="R49" i="12"/>
  <c r="T44" i="12"/>
  <c r="S44" i="12"/>
  <c r="R44" i="12"/>
  <c r="T43" i="12"/>
  <c r="S43" i="12"/>
  <c r="R43" i="12"/>
  <c r="T42" i="12"/>
  <c r="S42" i="12"/>
  <c r="R42" i="12"/>
  <c r="T40" i="12"/>
  <c r="S40" i="12"/>
  <c r="R40" i="12"/>
  <c r="T39" i="12"/>
  <c r="S39" i="12"/>
  <c r="R39" i="12"/>
  <c r="T38" i="12"/>
  <c r="T36" i="12"/>
  <c r="S36" i="12"/>
  <c r="R36" i="12"/>
  <c r="T35" i="12"/>
  <c r="S35" i="12"/>
  <c r="R35" i="12"/>
  <c r="T34" i="12"/>
  <c r="S34" i="12"/>
  <c r="R34" i="12"/>
  <c r="T33" i="12"/>
  <c r="S33" i="12"/>
  <c r="R33" i="12"/>
  <c r="T32" i="12"/>
  <c r="S32" i="12"/>
  <c r="R32" i="12"/>
  <c r="T31" i="12"/>
  <c r="S31" i="12"/>
  <c r="R31" i="12"/>
  <c r="T30" i="12"/>
  <c r="S30" i="12"/>
  <c r="T28" i="12"/>
  <c r="S28" i="12"/>
  <c r="R28" i="12"/>
  <c r="T27" i="12"/>
  <c r="S27" i="12"/>
  <c r="R27" i="12"/>
  <c r="T25" i="12"/>
  <c r="S25" i="12"/>
  <c r="R25" i="12"/>
  <c r="T23" i="12"/>
  <c r="S23" i="12"/>
  <c r="R23" i="12"/>
  <c r="T22" i="12"/>
  <c r="S22" i="12"/>
  <c r="R22" i="12"/>
  <c r="T20" i="12"/>
  <c r="S20" i="12"/>
  <c r="R20" i="12"/>
  <c r="T19" i="12"/>
  <c r="S19" i="12"/>
  <c r="R19" i="12"/>
  <c r="T18" i="12"/>
  <c r="S18" i="12"/>
  <c r="R18" i="12"/>
  <c r="T17" i="12"/>
  <c r="S17" i="12"/>
  <c r="R17" i="12"/>
  <c r="T16" i="12"/>
  <c r="S16" i="12"/>
  <c r="R16" i="12"/>
  <c r="T14" i="12"/>
  <c r="S14" i="12"/>
  <c r="R14" i="12"/>
  <c r="T53" i="11"/>
  <c r="S53" i="11"/>
  <c r="R53" i="11"/>
  <c r="T52" i="11"/>
  <c r="S52" i="11"/>
  <c r="R52" i="11"/>
  <c r="T49" i="11"/>
  <c r="S49" i="11"/>
  <c r="R49" i="11"/>
  <c r="T58" i="9"/>
  <c r="S58" i="9"/>
  <c r="R58" i="9"/>
  <c r="T52" i="9"/>
  <c r="S52" i="9"/>
  <c r="R52" i="9"/>
  <c r="T51" i="9"/>
  <c r="S51" i="9"/>
  <c r="R51" i="9"/>
  <c r="S45" i="9"/>
  <c r="R45" i="9"/>
  <c r="P27" i="16"/>
  <c r="O27" i="16"/>
  <c r="N27" i="16"/>
  <c r="T24" i="9"/>
  <c r="T22" i="9"/>
  <c r="T19" i="9"/>
  <c r="T18" i="9"/>
  <c r="T17" i="9"/>
  <c r="T16" i="9"/>
  <c r="T15" i="9"/>
  <c r="T13" i="9"/>
  <c r="R13" i="9"/>
  <c r="T22" i="11"/>
  <c r="S22" i="11"/>
  <c r="R22" i="11"/>
  <c r="R14" i="11"/>
  <c r="S14" i="11"/>
  <c r="T14" i="11"/>
  <c r="T59" i="11"/>
  <c r="S59" i="11"/>
  <c r="R59" i="11"/>
  <c r="T42" i="11"/>
  <c r="S42" i="11"/>
  <c r="R42" i="11"/>
  <c r="T25" i="11"/>
  <c r="S25" i="11"/>
  <c r="R25" i="11"/>
  <c r="T80" i="9"/>
  <c r="S80" i="9"/>
  <c r="R80" i="9"/>
  <c r="T79" i="9"/>
  <c r="S79" i="9"/>
  <c r="R79" i="9"/>
  <c r="S46" i="9"/>
  <c r="R46" i="9"/>
  <c r="S24" i="9"/>
  <c r="R24" i="9"/>
  <c r="P38" i="16"/>
  <c r="O38" i="16"/>
  <c r="N38" i="16"/>
  <c r="R46" i="18"/>
  <c r="P46" i="18"/>
  <c r="T43" i="11"/>
  <c r="S43" i="11"/>
  <c r="R43" i="11"/>
  <c r="T36" i="11"/>
  <c r="S36" i="11"/>
  <c r="T16" i="11"/>
  <c r="S16" i="11"/>
  <c r="R16" i="11"/>
  <c r="S15" i="9"/>
  <c r="R15" i="9"/>
  <c r="T72" i="9"/>
  <c r="S72" i="9"/>
  <c r="R72" i="9"/>
  <c r="R70" i="18"/>
  <c r="P70" i="18"/>
  <c r="R58" i="18"/>
  <c r="P58" i="18"/>
  <c r="R36" i="11"/>
  <c r="R73" i="18"/>
  <c r="P73" i="18"/>
  <c r="R80" i="18"/>
  <c r="Q80" i="18"/>
  <c r="R49" i="18"/>
  <c r="Q49" i="18"/>
  <c r="P49" i="18"/>
  <c r="T45" i="9"/>
  <c r="P23" i="7"/>
  <c r="O23" i="7"/>
  <c r="N23" i="7"/>
  <c r="P22" i="7"/>
  <c r="O22" i="7"/>
  <c r="N22" i="7"/>
  <c r="O36" i="16"/>
  <c r="N36" i="16"/>
  <c r="P52" i="18"/>
  <c r="P50" i="18"/>
  <c r="P13" i="18"/>
  <c r="B15" i="12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P37" i="7"/>
  <c r="O37" i="7"/>
  <c r="N37" i="7"/>
  <c r="B15" i="10"/>
  <c r="B16" i="10"/>
  <c r="B17" i="10"/>
  <c r="B18" i="10"/>
  <c r="B19" i="10"/>
  <c r="B20" i="10"/>
  <c r="B21" i="10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B35" i="10" s="1"/>
  <c r="B36" i="10" s="1"/>
  <c r="B37" i="10" s="1"/>
  <c r="B38" i="10" s="1"/>
  <c r="B39" i="10" s="1"/>
  <c r="B40" i="10" s="1"/>
  <c r="B41" i="10" s="1"/>
  <c r="B42" i="10" s="1"/>
  <c r="B43" i="10" s="1"/>
  <c r="B44" i="10" s="1"/>
  <c r="B45" i="10" s="1"/>
  <c r="B46" i="10" s="1"/>
  <c r="B47" i="10" s="1"/>
  <c r="B48" i="10" s="1"/>
  <c r="B49" i="10" s="1"/>
  <c r="B50" i="10" s="1"/>
  <c r="B51" i="10" s="1"/>
  <c r="B52" i="10" s="1"/>
  <c r="B53" i="10" s="1"/>
  <c r="B54" i="10" s="1"/>
  <c r="B55" i="10" s="1"/>
  <c r="B56" i="10" s="1"/>
  <c r="B57" i="10" s="1"/>
  <c r="B58" i="10" s="1"/>
  <c r="B59" i="10" s="1"/>
  <c r="B60" i="10" s="1"/>
  <c r="B61" i="10" s="1"/>
  <c r="B62" i="10" s="1"/>
  <c r="B63" i="10" s="1"/>
  <c r="B64" i="10" s="1"/>
  <c r="B15" i="6"/>
  <c r="B16" i="6"/>
  <c r="B17" i="6"/>
  <c r="B18" i="6"/>
  <c r="B19" i="6"/>
  <c r="B20" i="6"/>
  <c r="B21" i="6"/>
  <c r="B22" i="6"/>
  <c r="B23" i="6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50" i="6" s="1"/>
  <c r="B51" i="6" s="1"/>
  <c r="B52" i="6" s="1"/>
  <c r="B53" i="6" s="1"/>
  <c r="B54" i="6" s="1"/>
  <c r="B55" i="6" s="1"/>
  <c r="B56" i="6" s="1"/>
  <c r="B57" i="6" s="1"/>
  <c r="B58" i="6" s="1"/>
  <c r="B59" i="6" s="1"/>
  <c r="B60" i="6" s="1"/>
  <c r="B61" i="6" s="1"/>
  <c r="B62" i="6" s="1"/>
  <c r="B63" i="6" s="1"/>
  <c r="B64" i="6" s="1"/>
  <c r="T34" i="11"/>
  <c r="S34" i="11"/>
  <c r="R34" i="11"/>
  <c r="B15" i="11"/>
  <c r="B16" i="11"/>
  <c r="B17" i="11"/>
  <c r="B18" i="1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38" i="11" s="1"/>
  <c r="B39" i="11" s="1"/>
  <c r="B40" i="11" s="1"/>
  <c r="B41" i="11" s="1"/>
  <c r="B42" i="11" s="1"/>
  <c r="B43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14" i="16"/>
  <c r="B15" i="16"/>
  <c r="B14" i="9"/>
  <c r="B15" i="9"/>
  <c r="B16" i="9"/>
  <c r="B17" i="9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14" i="18"/>
  <c r="B15" i="18" s="1"/>
  <c r="B16" i="18" s="1"/>
  <c r="B17" i="18" s="1"/>
  <c r="B18" i="18" s="1"/>
  <c r="B19" i="18" s="1"/>
  <c r="B20" i="18" s="1"/>
  <c r="B21" i="18" s="1"/>
  <c r="B22" i="18" s="1"/>
  <c r="B23" i="18" s="1"/>
  <c r="B24" i="18" s="1"/>
  <c r="B25" i="18" s="1"/>
  <c r="B26" i="18" s="1"/>
  <c r="B27" i="18" s="1"/>
  <c r="B28" i="18" s="1"/>
  <c r="B29" i="18" s="1"/>
  <c r="B30" i="18" s="1"/>
  <c r="B31" i="18" s="1"/>
  <c r="B32" i="18" s="1"/>
  <c r="B33" i="18" s="1"/>
  <c r="B34" i="18" s="1"/>
  <c r="B35" i="18" s="1"/>
  <c r="B36" i="18" s="1"/>
  <c r="B37" i="18" s="1"/>
  <c r="B38" i="18" s="1"/>
  <c r="B39" i="18" s="1"/>
  <c r="B40" i="18" s="1"/>
  <c r="B41" i="18" s="1"/>
  <c r="B42" i="18" s="1"/>
  <c r="B43" i="18" s="1"/>
  <c r="B44" i="18" s="1"/>
  <c r="B45" i="18" s="1"/>
  <c r="B46" i="18" s="1"/>
  <c r="B47" i="18" s="1"/>
  <c r="B48" i="18" s="1"/>
  <c r="B49" i="18" s="1"/>
  <c r="B50" i="18" s="1"/>
  <c r="B51" i="18" s="1"/>
  <c r="B52" i="18" s="1"/>
  <c r="B53" i="18" s="1"/>
  <c r="B54" i="18" s="1"/>
  <c r="B55" i="18" s="1"/>
  <c r="B56" i="18" s="1"/>
  <c r="B57" i="18" s="1"/>
  <c r="B58" i="18" s="1"/>
  <c r="B59" i="18" s="1"/>
  <c r="B60" i="18" s="1"/>
  <c r="B61" i="18" s="1"/>
  <c r="B62" i="18" s="1"/>
  <c r="B63" i="18" s="1"/>
  <c r="P26" i="16"/>
  <c r="N26" i="16"/>
  <c r="B66" i="18"/>
  <c r="B67" i="18" s="1"/>
  <c r="B68" i="18" s="1"/>
  <c r="B69" i="18" s="1"/>
  <c r="B70" i="18" s="1"/>
  <c r="B71" i="18" s="1"/>
  <c r="B72" i="18" s="1"/>
  <c r="B73" i="18" s="1"/>
  <c r="B74" i="18" s="1"/>
  <c r="B75" i="18" s="1"/>
  <c r="B76" i="18" s="1"/>
  <c r="B77" i="18" s="1"/>
  <c r="B78" i="18" s="1"/>
  <c r="T49" i="9"/>
  <c r="S49" i="9"/>
  <c r="R49" i="9"/>
  <c r="O26" i="16"/>
  <c r="P78" i="18"/>
  <c r="R78" i="18"/>
  <c r="R77" i="18"/>
  <c r="Q77" i="18"/>
  <c r="P77" i="18"/>
  <c r="R76" i="18"/>
  <c r="Q76" i="18"/>
  <c r="R74" i="18"/>
  <c r="P74" i="18"/>
  <c r="P72" i="18"/>
  <c r="R72" i="18"/>
  <c r="Q71" i="18"/>
  <c r="P71" i="18"/>
  <c r="R69" i="18"/>
  <c r="P69" i="18"/>
  <c r="P68" i="18"/>
  <c r="R67" i="18"/>
  <c r="P67" i="18"/>
  <c r="R66" i="18"/>
  <c r="P66" i="18"/>
  <c r="R63" i="18"/>
  <c r="Q63" i="18"/>
  <c r="R62" i="18"/>
  <c r="R59" i="18"/>
  <c r="Q59" i="18"/>
  <c r="P59" i="18"/>
  <c r="R50" i="18"/>
  <c r="R13" i="18"/>
  <c r="Q13" i="18"/>
  <c r="R11" i="18"/>
  <c r="Q11" i="18"/>
  <c r="R10" i="18"/>
  <c r="Q10" i="18"/>
  <c r="P11" i="18"/>
  <c r="T74" i="9"/>
  <c r="S74" i="9"/>
  <c r="R74" i="9"/>
  <c r="T71" i="9"/>
  <c r="S71" i="9"/>
  <c r="R71" i="9"/>
  <c r="T70" i="9"/>
  <c r="S70" i="9"/>
  <c r="R70" i="9"/>
  <c r="T69" i="9"/>
  <c r="S69" i="9"/>
  <c r="R69" i="9"/>
  <c r="T68" i="9"/>
  <c r="S68" i="9"/>
  <c r="R68" i="9"/>
  <c r="T77" i="9"/>
  <c r="S77" i="9"/>
  <c r="R77" i="9"/>
  <c r="T73" i="9"/>
  <c r="S73" i="9"/>
  <c r="R73" i="9"/>
  <c r="T67" i="9"/>
  <c r="S67" i="9"/>
  <c r="R67" i="9"/>
  <c r="T63" i="9"/>
  <c r="S63" i="9"/>
  <c r="R63" i="9"/>
  <c r="T62" i="9"/>
  <c r="S62" i="9"/>
  <c r="R62" i="9"/>
  <c r="T59" i="9"/>
  <c r="S59" i="9"/>
  <c r="R59" i="9"/>
  <c r="T57" i="9"/>
  <c r="S57" i="9"/>
  <c r="R57" i="9"/>
  <c r="T55" i="9"/>
  <c r="S55" i="9"/>
  <c r="R55" i="9"/>
  <c r="T54" i="9"/>
  <c r="S54" i="9"/>
  <c r="R54" i="9"/>
  <c r="T53" i="9"/>
  <c r="S53" i="9"/>
  <c r="R53" i="9"/>
  <c r="S50" i="9"/>
  <c r="R50" i="9"/>
  <c r="T32" i="9"/>
  <c r="S32" i="9"/>
  <c r="R32" i="9"/>
  <c r="T31" i="9"/>
  <c r="S31" i="9"/>
  <c r="R31" i="9"/>
  <c r="T30" i="9"/>
  <c r="S30" i="9"/>
  <c r="T29" i="9"/>
  <c r="S29" i="9"/>
  <c r="R29" i="9"/>
  <c r="T27" i="9"/>
  <c r="S27" i="9"/>
  <c r="R27" i="9"/>
  <c r="T26" i="9"/>
  <c r="S26" i="9"/>
  <c r="R26" i="9"/>
  <c r="S22" i="9"/>
  <c r="R22" i="9"/>
  <c r="S19" i="9"/>
  <c r="R19" i="9"/>
  <c r="S18" i="9"/>
  <c r="R18" i="9"/>
  <c r="S17" i="9"/>
  <c r="R17" i="9"/>
  <c r="S16" i="9"/>
  <c r="R16" i="9"/>
  <c r="S13" i="9"/>
  <c r="R66" i="9"/>
  <c r="S66" i="9"/>
  <c r="T66" i="9"/>
  <c r="R75" i="9"/>
  <c r="S75" i="9"/>
  <c r="R76" i="9"/>
  <c r="S76" i="9"/>
  <c r="T76" i="9"/>
  <c r="R10" i="9"/>
  <c r="S10" i="9"/>
  <c r="T10" i="9"/>
  <c r="R11" i="9"/>
  <c r="S11" i="9"/>
  <c r="T11" i="9"/>
  <c r="P35" i="16"/>
  <c r="O35" i="16"/>
  <c r="N35" i="16"/>
  <c r="P34" i="16"/>
  <c r="O34" i="16"/>
  <c r="N34" i="16"/>
  <c r="O33" i="16"/>
  <c r="N33" i="16"/>
  <c r="P31" i="16"/>
  <c r="O31" i="16"/>
  <c r="N31" i="16"/>
  <c r="P28" i="16"/>
  <c r="O28" i="16"/>
  <c r="N28" i="16"/>
  <c r="P25" i="16"/>
  <c r="P16" i="16"/>
  <c r="O16" i="16"/>
  <c r="N16" i="16"/>
  <c r="O14" i="16"/>
  <c r="N14" i="16"/>
  <c r="T12" i="10"/>
  <c r="T11" i="10"/>
  <c r="T10" i="10"/>
  <c r="S12" i="10"/>
  <c r="R12" i="10"/>
  <c r="S11" i="10"/>
  <c r="R11" i="10"/>
  <c r="S10" i="10"/>
  <c r="R10" i="10"/>
  <c r="T12" i="12"/>
  <c r="T11" i="12"/>
  <c r="T10" i="12"/>
  <c r="S12" i="12"/>
  <c r="R12" i="12"/>
  <c r="S11" i="12"/>
  <c r="R11" i="12"/>
  <c r="S10" i="12"/>
  <c r="R10" i="12"/>
  <c r="T56" i="11"/>
  <c r="S56" i="11"/>
  <c r="R56" i="11"/>
  <c r="T55" i="11"/>
  <c r="S55" i="11"/>
  <c r="R55" i="11"/>
  <c r="T63" i="11"/>
  <c r="S63" i="11"/>
  <c r="R63" i="11"/>
  <c r="T60" i="11"/>
  <c r="S60" i="11"/>
  <c r="R60" i="11"/>
  <c r="T58" i="11"/>
  <c r="S58" i="11"/>
  <c r="R58" i="11"/>
  <c r="T54" i="11"/>
  <c r="S54" i="11"/>
  <c r="R54" i="11"/>
  <c r="T51" i="11"/>
  <c r="S51" i="11"/>
  <c r="R51" i="11"/>
  <c r="T44" i="11"/>
  <c r="S44" i="11"/>
  <c r="R44" i="11"/>
  <c r="T35" i="11"/>
  <c r="S35" i="11"/>
  <c r="R35" i="11"/>
  <c r="T31" i="11"/>
  <c r="S31" i="11"/>
  <c r="R31" i="11"/>
  <c r="T28" i="11"/>
  <c r="S28" i="11"/>
  <c r="R28" i="11"/>
  <c r="T27" i="11"/>
  <c r="S27" i="11"/>
  <c r="R27" i="11"/>
  <c r="T17" i="11"/>
  <c r="S17" i="11"/>
  <c r="R17" i="11"/>
  <c r="T39" i="11"/>
  <c r="S39" i="11"/>
  <c r="R39" i="11"/>
  <c r="T38" i="11"/>
  <c r="S38" i="11"/>
  <c r="R38" i="11"/>
  <c r="T33" i="11"/>
  <c r="S33" i="11"/>
  <c r="R33" i="11"/>
  <c r="T32" i="11"/>
  <c r="S32" i="11"/>
  <c r="R32" i="11"/>
  <c r="T30" i="11"/>
  <c r="S30" i="11"/>
  <c r="T23" i="11"/>
  <c r="S23" i="11"/>
  <c r="R23" i="11"/>
  <c r="T20" i="11"/>
  <c r="S20" i="11"/>
  <c r="R20" i="11"/>
  <c r="T19" i="11"/>
  <c r="S19" i="11"/>
  <c r="R19" i="11"/>
  <c r="T18" i="11"/>
  <c r="S18" i="11"/>
  <c r="R18" i="11"/>
  <c r="T12" i="11"/>
  <c r="T11" i="11"/>
  <c r="T10" i="11"/>
  <c r="S12" i="11"/>
  <c r="R12" i="11"/>
  <c r="S11" i="11"/>
  <c r="R11" i="11"/>
  <c r="S10" i="11"/>
  <c r="R10" i="11"/>
  <c r="P36" i="7"/>
  <c r="O36" i="7"/>
  <c r="N36" i="7"/>
  <c r="P35" i="7"/>
  <c r="O35" i="7"/>
  <c r="N35" i="7"/>
  <c r="P32" i="7"/>
  <c r="O32" i="7"/>
  <c r="N32" i="7"/>
  <c r="P29" i="7"/>
  <c r="O29" i="7"/>
  <c r="N29" i="7"/>
  <c r="P25" i="7"/>
  <c r="O25" i="7"/>
  <c r="N25" i="7"/>
  <c r="P17" i="7"/>
  <c r="O17" i="7"/>
  <c r="N17" i="7"/>
  <c r="P15" i="7"/>
  <c r="O15" i="7"/>
  <c r="N15" i="7"/>
  <c r="T12" i="6"/>
  <c r="T11" i="6"/>
  <c r="T10" i="6"/>
  <c r="S12" i="6"/>
  <c r="R12" i="6"/>
  <c r="S11" i="6"/>
  <c r="R11" i="6"/>
  <c r="S10" i="6"/>
  <c r="R10" i="6"/>
</calcChain>
</file>

<file path=xl/sharedStrings.xml><?xml version="1.0" encoding="utf-8"?>
<sst xmlns="http://schemas.openxmlformats.org/spreadsheetml/2006/main" count="5002" uniqueCount="686">
  <si>
    <t>最 高</t>
    <rPh sb="0" eb="1">
      <t>サイ</t>
    </rPh>
    <rPh sb="2" eb="3">
      <t>タカ</t>
    </rPh>
    <phoneticPr fontId="5"/>
  </si>
  <si>
    <t>最 低</t>
    <rPh sb="0" eb="1">
      <t>サイ</t>
    </rPh>
    <rPh sb="2" eb="3">
      <t>テイ</t>
    </rPh>
    <phoneticPr fontId="5"/>
  </si>
  <si>
    <t>平 均</t>
    <rPh sb="0" eb="1">
      <t>ヒラ</t>
    </rPh>
    <rPh sb="2" eb="3">
      <t>ヒトシ</t>
    </rPh>
    <phoneticPr fontId="5"/>
  </si>
  <si>
    <t>検　　査　　結　　果</t>
    <rPh sb="0" eb="1">
      <t>ケン</t>
    </rPh>
    <rPh sb="3" eb="4">
      <t>ジャ</t>
    </rPh>
    <rPh sb="6" eb="7">
      <t>ケツ</t>
    </rPh>
    <rPh sb="9" eb="10">
      <t>カ</t>
    </rPh>
    <phoneticPr fontId="5"/>
  </si>
  <si>
    <t>残留塩素(mg/l)</t>
    <rPh sb="0" eb="2">
      <t>ザンリュウ</t>
    </rPh>
    <rPh sb="2" eb="4">
      <t>エンソ</t>
    </rPh>
    <phoneticPr fontId="5"/>
  </si>
  <si>
    <t>試料採取時の記録事項</t>
    <rPh sb="0" eb="2">
      <t>シリョウ</t>
    </rPh>
    <rPh sb="2" eb="4">
      <t>サイシュ</t>
    </rPh>
    <rPh sb="4" eb="5">
      <t>ジ</t>
    </rPh>
    <rPh sb="6" eb="8">
      <t>キロク</t>
    </rPh>
    <rPh sb="8" eb="10">
      <t>ジコウ</t>
    </rPh>
    <phoneticPr fontId="4"/>
  </si>
  <si>
    <t>検　　査　　結　　果</t>
    <rPh sb="0" eb="1">
      <t>ケン</t>
    </rPh>
    <rPh sb="3" eb="4">
      <t>ジャ</t>
    </rPh>
    <rPh sb="6" eb="7">
      <t>ケツ</t>
    </rPh>
    <rPh sb="9" eb="10">
      <t>カ</t>
    </rPh>
    <phoneticPr fontId="4"/>
  </si>
  <si>
    <t>番号</t>
    <rPh sb="0" eb="2">
      <t>バンゴウ</t>
    </rPh>
    <phoneticPr fontId="4"/>
  </si>
  <si>
    <t>水質検査実施地点名称</t>
    <rPh sb="0" eb="2">
      <t>スイシツ</t>
    </rPh>
    <rPh sb="2" eb="4">
      <t>ケンサ</t>
    </rPh>
    <rPh sb="4" eb="6">
      <t>ジッシ</t>
    </rPh>
    <rPh sb="6" eb="8">
      <t>チテン</t>
    </rPh>
    <rPh sb="8" eb="10">
      <t>メイショウ</t>
    </rPh>
    <phoneticPr fontId="4"/>
  </si>
  <si>
    <t>採  水  月  日</t>
    <rPh sb="0" eb="1">
      <t>サイ</t>
    </rPh>
    <rPh sb="3" eb="4">
      <t>ミズ</t>
    </rPh>
    <rPh sb="6" eb="7">
      <t>ツキ</t>
    </rPh>
    <rPh sb="9" eb="10">
      <t>ヒ</t>
    </rPh>
    <phoneticPr fontId="5"/>
  </si>
  <si>
    <t>天  候（前日）</t>
    <rPh sb="0" eb="1">
      <t>テン</t>
    </rPh>
    <rPh sb="3" eb="4">
      <t>コウ</t>
    </rPh>
    <rPh sb="5" eb="7">
      <t>ゼンジツ</t>
    </rPh>
    <phoneticPr fontId="5"/>
  </si>
  <si>
    <t>天  候（当日）</t>
    <rPh sb="0" eb="1">
      <t>テン</t>
    </rPh>
    <rPh sb="3" eb="4">
      <t>コウ</t>
    </rPh>
    <rPh sb="5" eb="7">
      <t>トウジツ</t>
    </rPh>
    <phoneticPr fontId="5"/>
  </si>
  <si>
    <t>気   温 （℃）</t>
    <rPh sb="0" eb="1">
      <t>キ</t>
    </rPh>
    <rPh sb="4" eb="5">
      <t>アツシ</t>
    </rPh>
    <phoneticPr fontId="5"/>
  </si>
  <si>
    <t>水　 温 （℃）</t>
    <rPh sb="0" eb="1">
      <t>ミズ</t>
    </rPh>
    <rPh sb="3" eb="4">
      <t>アツシ</t>
    </rPh>
    <phoneticPr fontId="5"/>
  </si>
  <si>
    <t>採  水  時　刻</t>
    <rPh sb="0" eb="1">
      <t>サイ</t>
    </rPh>
    <rPh sb="3" eb="4">
      <t>ミズ</t>
    </rPh>
    <rPh sb="6" eb="7">
      <t>トキ</t>
    </rPh>
    <rPh sb="8" eb="9">
      <t>コク</t>
    </rPh>
    <phoneticPr fontId="5"/>
  </si>
  <si>
    <t>備　　考</t>
    <rPh sb="0" eb="1">
      <t>ビ</t>
    </rPh>
    <rPh sb="3" eb="4">
      <t>コウ</t>
    </rPh>
    <phoneticPr fontId="4"/>
  </si>
  <si>
    <t>原虫類</t>
    <rPh sb="0" eb="2">
      <t>ゲンチュウ</t>
    </rPh>
    <rPh sb="2" eb="3">
      <t>ルイ</t>
    </rPh>
    <phoneticPr fontId="4"/>
  </si>
  <si>
    <t>採　水　月　日</t>
    <rPh sb="0" eb="1">
      <t>サイ</t>
    </rPh>
    <rPh sb="2" eb="3">
      <t>ミズ</t>
    </rPh>
    <rPh sb="4" eb="5">
      <t>ツキ</t>
    </rPh>
    <rPh sb="6" eb="7">
      <t>ヒ</t>
    </rPh>
    <phoneticPr fontId="5"/>
  </si>
  <si>
    <t>採　水　時　間</t>
    <rPh sb="0" eb="1">
      <t>サイ</t>
    </rPh>
    <rPh sb="2" eb="3">
      <t>ミズ</t>
    </rPh>
    <rPh sb="4" eb="5">
      <t>トキ</t>
    </rPh>
    <rPh sb="6" eb="7">
      <t>アイダ</t>
    </rPh>
    <phoneticPr fontId="5"/>
  </si>
  <si>
    <t>天　候（前日）</t>
    <rPh sb="0" eb="1">
      <t>テン</t>
    </rPh>
    <rPh sb="2" eb="3">
      <t>コウ</t>
    </rPh>
    <rPh sb="4" eb="6">
      <t>ゼンジツ</t>
    </rPh>
    <phoneticPr fontId="5"/>
  </si>
  <si>
    <t>天　候（当日）</t>
    <rPh sb="0" eb="1">
      <t>テン</t>
    </rPh>
    <rPh sb="2" eb="3">
      <t>コウ</t>
    </rPh>
    <rPh sb="4" eb="6">
      <t>トウジツ</t>
    </rPh>
    <phoneticPr fontId="5"/>
  </si>
  <si>
    <t>気　　温　(℃)</t>
    <rPh sb="0" eb="1">
      <t>キ</t>
    </rPh>
    <rPh sb="3" eb="4">
      <t>アツシ</t>
    </rPh>
    <phoneticPr fontId="5"/>
  </si>
  <si>
    <t>残留塩素</t>
    <rPh sb="0" eb="2">
      <t>ザンリュウ</t>
    </rPh>
    <rPh sb="2" eb="4">
      <t>エンソ</t>
    </rPh>
    <phoneticPr fontId="4"/>
  </si>
  <si>
    <t>採水区分</t>
    <rPh sb="0" eb="2">
      <t>サイスイ</t>
    </rPh>
    <rPh sb="2" eb="4">
      <t>クブン</t>
    </rPh>
    <phoneticPr fontId="4"/>
  </si>
  <si>
    <t>一般細菌</t>
    <rPh sb="0" eb="2">
      <t>イッパン</t>
    </rPh>
    <rPh sb="2" eb="4">
      <t>サイキン</t>
    </rPh>
    <phoneticPr fontId="4"/>
  </si>
  <si>
    <t>大腸菌</t>
    <rPh sb="0" eb="3">
      <t>ダイチョウキン</t>
    </rPh>
    <phoneticPr fontId="4"/>
  </si>
  <si>
    <t>カドミウム及びその化合物</t>
    <rPh sb="5" eb="6">
      <t>オヨ</t>
    </rPh>
    <rPh sb="9" eb="12">
      <t>カゴウブツ</t>
    </rPh>
    <phoneticPr fontId="4"/>
  </si>
  <si>
    <t>水銀及びその化合物</t>
    <rPh sb="0" eb="2">
      <t>スイギン</t>
    </rPh>
    <rPh sb="2" eb="3">
      <t>オヨ</t>
    </rPh>
    <rPh sb="6" eb="9">
      <t>カゴウブツ</t>
    </rPh>
    <phoneticPr fontId="4"/>
  </si>
  <si>
    <t>セレン及びその化合物</t>
    <rPh sb="3" eb="4">
      <t>オヨ</t>
    </rPh>
    <rPh sb="7" eb="10">
      <t>カゴウブツ</t>
    </rPh>
    <phoneticPr fontId="4"/>
  </si>
  <si>
    <t>鉛及びその化合物</t>
    <rPh sb="0" eb="1">
      <t>ナマリ</t>
    </rPh>
    <rPh sb="1" eb="2">
      <t>オヨ</t>
    </rPh>
    <rPh sb="5" eb="8">
      <t>カゴウブツ</t>
    </rPh>
    <phoneticPr fontId="4"/>
  </si>
  <si>
    <t>ヒ素及びその化合物</t>
    <rPh sb="1" eb="2">
      <t>ソ</t>
    </rPh>
    <rPh sb="2" eb="3">
      <t>オヨ</t>
    </rPh>
    <rPh sb="6" eb="9">
      <t>カゴウブツ</t>
    </rPh>
    <phoneticPr fontId="4"/>
  </si>
  <si>
    <t>六価クロム化合物</t>
    <rPh sb="0" eb="2">
      <t>ロッカ</t>
    </rPh>
    <rPh sb="5" eb="8">
      <t>カゴウブツ</t>
    </rPh>
    <phoneticPr fontId="4"/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</si>
  <si>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4"/>
  </si>
  <si>
    <t>硝酸態窒素及び亜硝酸態窒素</t>
    <rPh sb="0" eb="2">
      <t>ショウサン</t>
    </rPh>
    <rPh sb="2" eb="3">
      <t>タイ</t>
    </rPh>
    <rPh sb="3" eb="5">
      <t>チッソ</t>
    </rPh>
    <rPh sb="5" eb="6">
      <t>オヨ</t>
    </rPh>
    <rPh sb="7" eb="8">
      <t>ア</t>
    </rPh>
    <rPh sb="8" eb="10">
      <t>ショウサン</t>
    </rPh>
    <rPh sb="10" eb="11">
      <t>タイ</t>
    </rPh>
    <rPh sb="11" eb="13">
      <t>チッソ</t>
    </rPh>
    <phoneticPr fontId="4"/>
  </si>
  <si>
    <t>フッ素及びその化合物</t>
    <rPh sb="2" eb="3">
      <t>ソ</t>
    </rPh>
    <rPh sb="3" eb="4">
      <t>オヨ</t>
    </rPh>
    <rPh sb="7" eb="10">
      <t>カゴウブツ</t>
    </rPh>
    <phoneticPr fontId="4"/>
  </si>
  <si>
    <t>ホウ素及びその化合物</t>
    <rPh sb="2" eb="3">
      <t>ソ</t>
    </rPh>
    <rPh sb="3" eb="4">
      <t>オヨ</t>
    </rPh>
    <rPh sb="7" eb="10">
      <t>カゴウブツ</t>
    </rPh>
    <phoneticPr fontId="4"/>
  </si>
  <si>
    <t>四塩化炭素</t>
    <rPh sb="0" eb="1">
      <t>シ</t>
    </rPh>
    <rPh sb="1" eb="3">
      <t>エンカ</t>
    </rPh>
    <rPh sb="3" eb="5">
      <t>タンソ</t>
    </rPh>
    <phoneticPr fontId="4"/>
  </si>
  <si>
    <t>クロロ酢酸</t>
    <rPh sb="3" eb="5">
      <t>サクサン</t>
    </rPh>
    <phoneticPr fontId="4"/>
  </si>
  <si>
    <t>ジクロロ酢酸</t>
    <rPh sb="4" eb="6">
      <t>サクサン</t>
    </rPh>
    <phoneticPr fontId="4"/>
  </si>
  <si>
    <t>臭素酸</t>
    <rPh sb="0" eb="2">
      <t>シュウソ</t>
    </rPh>
    <rPh sb="2" eb="3">
      <t>サン</t>
    </rPh>
    <phoneticPr fontId="4"/>
  </si>
  <si>
    <t>総トリハロメタン</t>
    <rPh sb="0" eb="1">
      <t>ソウ</t>
    </rPh>
    <phoneticPr fontId="4"/>
  </si>
  <si>
    <t>トリクロロ酢酸</t>
    <rPh sb="5" eb="7">
      <t>サクサン</t>
    </rPh>
    <phoneticPr fontId="4"/>
  </si>
  <si>
    <t>亜鉛及びその化合物</t>
    <rPh sb="0" eb="2">
      <t>アエン</t>
    </rPh>
    <rPh sb="2" eb="3">
      <t>オヨ</t>
    </rPh>
    <rPh sb="6" eb="9">
      <t>カゴウブツ</t>
    </rPh>
    <phoneticPr fontId="4"/>
  </si>
  <si>
    <t>アルミニウム及びその化合物</t>
    <rPh sb="6" eb="7">
      <t>オヨ</t>
    </rPh>
    <rPh sb="10" eb="13">
      <t>カゴウブツ</t>
    </rPh>
    <phoneticPr fontId="4"/>
  </si>
  <si>
    <t>鉄及びその化合物</t>
    <rPh sb="0" eb="1">
      <t>テツ</t>
    </rPh>
    <rPh sb="1" eb="2">
      <t>オヨ</t>
    </rPh>
    <rPh sb="5" eb="8">
      <t>カゴウブツ</t>
    </rPh>
    <phoneticPr fontId="4"/>
  </si>
  <si>
    <t>銅及びその化合物</t>
    <rPh sb="0" eb="1">
      <t>ドウ</t>
    </rPh>
    <rPh sb="1" eb="2">
      <t>オヨ</t>
    </rPh>
    <rPh sb="5" eb="8">
      <t>カゴウブツ</t>
    </rPh>
    <phoneticPr fontId="4"/>
  </si>
  <si>
    <t>ナトリウム及びその化合物</t>
    <rPh sb="5" eb="6">
      <t>オヨ</t>
    </rPh>
    <rPh sb="9" eb="12">
      <t>カゴウブツ</t>
    </rPh>
    <phoneticPr fontId="4"/>
  </si>
  <si>
    <t>マンガン及びその化合物</t>
    <rPh sb="4" eb="5">
      <t>オヨ</t>
    </rPh>
    <rPh sb="8" eb="11">
      <t>カゴウブツ</t>
    </rPh>
    <phoneticPr fontId="4"/>
  </si>
  <si>
    <t>塩化物イオン</t>
    <rPh sb="0" eb="3">
      <t>エンカブツ</t>
    </rPh>
    <phoneticPr fontId="4"/>
  </si>
  <si>
    <t>カルシウム、マグネシウム等</t>
    <rPh sb="12" eb="13">
      <t>トウ</t>
    </rPh>
    <phoneticPr fontId="4"/>
  </si>
  <si>
    <t>蒸発残留物</t>
    <rPh sb="0" eb="2">
      <t>ジョウハツ</t>
    </rPh>
    <rPh sb="2" eb="5">
      <t>ザンリュウブツ</t>
    </rPh>
    <phoneticPr fontId="4"/>
  </si>
  <si>
    <t>陰イオン界面活性剤</t>
    <rPh sb="0" eb="1">
      <t>イン</t>
    </rPh>
    <rPh sb="4" eb="6">
      <t>カイメン</t>
    </rPh>
    <rPh sb="6" eb="9">
      <t>カッセイザイ</t>
    </rPh>
    <phoneticPr fontId="4"/>
  </si>
  <si>
    <t>非イオン界面活性剤</t>
    <rPh sb="0" eb="1">
      <t>ヒ</t>
    </rPh>
    <rPh sb="4" eb="6">
      <t>カイメン</t>
    </rPh>
    <rPh sb="6" eb="9">
      <t>カッセイザイ</t>
    </rPh>
    <phoneticPr fontId="4"/>
  </si>
  <si>
    <t>フェノール類</t>
    <rPh sb="5" eb="6">
      <t>ルイ</t>
    </rPh>
    <phoneticPr fontId="4"/>
  </si>
  <si>
    <t>ｐＨ値</t>
    <rPh sb="2" eb="3">
      <t>チ</t>
    </rPh>
    <phoneticPr fontId="4"/>
  </si>
  <si>
    <t>味</t>
    <rPh sb="0" eb="1">
      <t>アジ</t>
    </rPh>
    <phoneticPr fontId="4"/>
  </si>
  <si>
    <t>臭気</t>
    <rPh sb="0" eb="2">
      <t>シュウキ</t>
    </rPh>
    <phoneticPr fontId="4"/>
  </si>
  <si>
    <t>色度</t>
    <rPh sb="0" eb="2">
      <t>シキド</t>
    </rPh>
    <phoneticPr fontId="4"/>
  </si>
  <si>
    <t>濁度</t>
    <rPh sb="0" eb="2">
      <t>ダクド</t>
    </rPh>
    <phoneticPr fontId="4"/>
  </si>
  <si>
    <t>病原微生物</t>
    <rPh sb="0" eb="2">
      <t>ビョウゲン</t>
    </rPh>
    <rPh sb="2" eb="5">
      <t>ビセイブツ</t>
    </rPh>
    <phoneticPr fontId="4"/>
  </si>
  <si>
    <t>金属類</t>
    <rPh sb="0" eb="3">
      <t>キンゾクルイ</t>
    </rPh>
    <phoneticPr fontId="4"/>
  </si>
  <si>
    <t>消毒副生成物</t>
    <rPh sb="0" eb="2">
      <t>ショウドク</t>
    </rPh>
    <rPh sb="2" eb="3">
      <t>フク</t>
    </rPh>
    <rPh sb="3" eb="6">
      <t>セイセイブツ</t>
    </rPh>
    <phoneticPr fontId="4"/>
  </si>
  <si>
    <t>有機物</t>
    <rPh sb="0" eb="3">
      <t>ユウキブツ</t>
    </rPh>
    <phoneticPr fontId="4"/>
  </si>
  <si>
    <t>その他</t>
    <rPh sb="2" eb="3">
      <t>タ</t>
    </rPh>
    <phoneticPr fontId="4"/>
  </si>
  <si>
    <t>基準値(mg/L)</t>
    <rPh sb="0" eb="3">
      <t>キジュンチ</t>
    </rPh>
    <phoneticPr fontId="4"/>
  </si>
  <si>
    <t xml:space="preserve"> 200 以下</t>
    <rPh sb="5" eb="7">
      <t>イカ</t>
    </rPh>
    <phoneticPr fontId="4"/>
  </si>
  <si>
    <t xml:space="preserve"> 300 以下</t>
    <rPh sb="5" eb="7">
      <t>イカ</t>
    </rPh>
    <phoneticPr fontId="4"/>
  </si>
  <si>
    <t xml:space="preserve"> 500 以下</t>
    <rPh sb="5" eb="7">
      <t>イカ</t>
    </rPh>
    <phoneticPr fontId="4"/>
  </si>
  <si>
    <t xml:space="preserve"> 5.8以上8.6以下</t>
    <rPh sb="4" eb="6">
      <t>イジョウ</t>
    </rPh>
    <rPh sb="9" eb="11">
      <t>イカ</t>
    </rPh>
    <phoneticPr fontId="4"/>
  </si>
  <si>
    <t>アンチモン及びその化合物</t>
    <rPh sb="5" eb="6">
      <t>オヨ</t>
    </rPh>
    <rPh sb="9" eb="12">
      <t>カゴウブツ</t>
    </rPh>
    <phoneticPr fontId="4"/>
  </si>
  <si>
    <t>ウラン及びその化合物</t>
    <rPh sb="3" eb="4">
      <t>オヨ</t>
    </rPh>
    <rPh sb="7" eb="10">
      <t>カゴウブツ</t>
    </rPh>
    <phoneticPr fontId="4"/>
  </si>
  <si>
    <t>ニッケル及びその化合物</t>
    <rPh sb="4" eb="5">
      <t>オヨ</t>
    </rPh>
    <rPh sb="8" eb="11">
      <t>カゴウブツ</t>
    </rPh>
    <phoneticPr fontId="4"/>
  </si>
  <si>
    <t>フタル酸ジ(2-エチルヘキシル)</t>
    <rPh sb="3" eb="4">
      <t>サン</t>
    </rPh>
    <phoneticPr fontId="4"/>
  </si>
  <si>
    <t>亜塩素酸</t>
    <rPh sb="0" eb="1">
      <t>ア</t>
    </rPh>
    <rPh sb="1" eb="4">
      <t>エンソサン</t>
    </rPh>
    <phoneticPr fontId="4"/>
  </si>
  <si>
    <t>二酸化塩素</t>
    <rPh sb="0" eb="3">
      <t>ニサンカ</t>
    </rPh>
    <rPh sb="3" eb="5">
      <t>エンソ</t>
    </rPh>
    <phoneticPr fontId="4"/>
  </si>
  <si>
    <t>抱水クロラール</t>
    <rPh sb="0" eb="1">
      <t>カカ</t>
    </rPh>
    <rPh sb="1" eb="2">
      <t>ミズ</t>
    </rPh>
    <phoneticPr fontId="4"/>
  </si>
  <si>
    <t>農薬類</t>
    <rPh sb="0" eb="3">
      <t>ノウヤクルイ</t>
    </rPh>
    <phoneticPr fontId="4"/>
  </si>
  <si>
    <t>カルシウム、マグネシウム等（硬度）</t>
    <rPh sb="12" eb="13">
      <t>トウ</t>
    </rPh>
    <rPh sb="14" eb="16">
      <t>コウド</t>
    </rPh>
    <phoneticPr fontId="4"/>
  </si>
  <si>
    <t>遊離炭酸</t>
    <rPh sb="0" eb="2">
      <t>ユウリ</t>
    </rPh>
    <rPh sb="2" eb="4">
      <t>タンサン</t>
    </rPh>
    <phoneticPr fontId="4"/>
  </si>
  <si>
    <t>臭気強度(TON)</t>
    <rPh sb="0" eb="2">
      <t>シュウキ</t>
    </rPh>
    <rPh sb="2" eb="4">
      <t>キョウド</t>
    </rPh>
    <phoneticPr fontId="4"/>
  </si>
  <si>
    <t>腐食性(ランゲリア指数)</t>
    <rPh sb="0" eb="3">
      <t>フショクセイ</t>
    </rPh>
    <rPh sb="9" eb="11">
      <t>シスウ</t>
    </rPh>
    <phoneticPr fontId="4"/>
  </si>
  <si>
    <t>検　　査　　機　　関</t>
    <rPh sb="0" eb="1">
      <t>ケン</t>
    </rPh>
    <rPh sb="3" eb="4">
      <t>サ</t>
    </rPh>
    <rPh sb="6" eb="7">
      <t>キ</t>
    </rPh>
    <rPh sb="9" eb="10">
      <t>セキ</t>
    </rPh>
    <phoneticPr fontId="4"/>
  </si>
  <si>
    <t>水質管理目標設定項目</t>
    <rPh sb="0" eb="2">
      <t>スイシツ</t>
    </rPh>
    <rPh sb="2" eb="4">
      <t>カンリ</t>
    </rPh>
    <rPh sb="4" eb="6">
      <t>モクヒョウ</t>
    </rPh>
    <rPh sb="6" eb="8">
      <t>セッテイ</t>
    </rPh>
    <rPh sb="8" eb="10">
      <t>コウモク</t>
    </rPh>
    <phoneticPr fontId="4"/>
  </si>
  <si>
    <t>備　考</t>
    <rPh sb="0" eb="1">
      <t>ソナエ</t>
    </rPh>
    <rPh sb="2" eb="3">
      <t>コウ</t>
    </rPh>
    <phoneticPr fontId="4"/>
  </si>
  <si>
    <t>金属類</t>
    <rPh sb="0" eb="2">
      <t>キンゾク</t>
    </rPh>
    <rPh sb="2" eb="3">
      <t>ルイ</t>
    </rPh>
    <phoneticPr fontId="4"/>
  </si>
  <si>
    <t>農薬</t>
    <rPh sb="0" eb="2">
      <t>ノウヤク</t>
    </rPh>
    <phoneticPr fontId="4"/>
  </si>
  <si>
    <t>目標値（mg/L）</t>
    <rPh sb="0" eb="3">
      <t>モクヒョウチ</t>
    </rPh>
    <phoneticPr fontId="4"/>
  </si>
  <si>
    <t xml:space="preserve"> 0.002 以下（暫定）</t>
    <rPh sb="7" eb="9">
      <t>イカ</t>
    </rPh>
    <rPh sb="10" eb="12">
      <t>ザンテイ</t>
    </rPh>
    <phoneticPr fontId="4"/>
  </si>
  <si>
    <t xml:space="preserve"> 0.04 以下</t>
    <rPh sb="6" eb="8">
      <t>イカ</t>
    </rPh>
    <phoneticPr fontId="4"/>
  </si>
  <si>
    <t xml:space="preserve"> 0.2 以下</t>
    <rPh sb="5" eb="7">
      <t>イカ</t>
    </rPh>
    <phoneticPr fontId="4"/>
  </si>
  <si>
    <t xml:space="preserve"> 0.1 以下</t>
    <rPh sb="5" eb="7">
      <t>イカ</t>
    </rPh>
    <phoneticPr fontId="4"/>
  </si>
  <si>
    <t xml:space="preserve"> 0.6 以下</t>
    <rPh sb="5" eb="7">
      <t>イカ</t>
    </rPh>
    <phoneticPr fontId="4"/>
  </si>
  <si>
    <t xml:space="preserve"> 1 以下</t>
    <rPh sb="3" eb="5">
      <t>イカ</t>
    </rPh>
    <phoneticPr fontId="4"/>
  </si>
  <si>
    <t xml:space="preserve"> 0.01 以下</t>
    <rPh sb="6" eb="8">
      <t>イカ</t>
    </rPh>
    <phoneticPr fontId="4"/>
  </si>
  <si>
    <t xml:space="preserve"> 20 以下</t>
    <rPh sb="4" eb="6">
      <t>イカ</t>
    </rPh>
    <phoneticPr fontId="4"/>
  </si>
  <si>
    <t xml:space="preserve"> 0.3 以下</t>
    <rPh sb="5" eb="7">
      <t>イカ</t>
    </rPh>
    <phoneticPr fontId="4"/>
  </si>
  <si>
    <t xml:space="preserve"> 0.02 以下</t>
    <rPh sb="6" eb="8">
      <t>イカ</t>
    </rPh>
    <phoneticPr fontId="4"/>
  </si>
  <si>
    <t xml:space="preserve"> 3 以下</t>
    <rPh sb="3" eb="5">
      <t>イカ</t>
    </rPh>
    <phoneticPr fontId="4"/>
  </si>
  <si>
    <t xml:space="preserve"> 1 度以下</t>
    <rPh sb="3" eb="4">
      <t>ド</t>
    </rPh>
    <rPh sb="4" eb="6">
      <t>イカ</t>
    </rPh>
    <phoneticPr fontId="4"/>
  </si>
  <si>
    <t xml:space="preserve"> 7.5 程度</t>
    <rPh sb="5" eb="7">
      <t>テイド</t>
    </rPh>
    <phoneticPr fontId="4"/>
  </si>
  <si>
    <t xml:space="preserve"> 1 以下 ※1</t>
    <rPh sb="3" eb="5">
      <t>イカ</t>
    </rPh>
    <phoneticPr fontId="4"/>
  </si>
  <si>
    <t>有機物質(過マンガン酸カリウム消費量)</t>
    <rPh sb="0" eb="2">
      <t>ユウキ</t>
    </rPh>
    <rPh sb="2" eb="4">
      <t>ブッシツ</t>
    </rPh>
    <rPh sb="5" eb="6">
      <t>カ</t>
    </rPh>
    <rPh sb="10" eb="11">
      <t>サン</t>
    </rPh>
    <rPh sb="15" eb="18">
      <t>ショウヒリョウ</t>
    </rPh>
    <phoneticPr fontId="4"/>
  </si>
  <si>
    <t xml:space="preserve"> 10 以上、100 以下</t>
    <rPh sb="4" eb="6">
      <t>イジョウ</t>
    </rPh>
    <rPh sb="11" eb="13">
      <t>イカ</t>
    </rPh>
    <phoneticPr fontId="4"/>
  </si>
  <si>
    <t xml:space="preserve"> 30 以上、200 以下</t>
    <rPh sb="4" eb="6">
      <t>イジョウ</t>
    </rPh>
    <rPh sb="11" eb="13">
      <t>イカ</t>
    </rPh>
    <phoneticPr fontId="4"/>
  </si>
  <si>
    <t xml:space="preserve"> -1 程度以上とし、極力 0に近づける</t>
    <rPh sb="4" eb="6">
      <t>テイド</t>
    </rPh>
    <rPh sb="6" eb="8">
      <t>イジョウ</t>
    </rPh>
    <rPh sb="11" eb="13">
      <t>キョクリョク</t>
    </rPh>
    <rPh sb="16" eb="17">
      <t>チカ</t>
    </rPh>
    <phoneticPr fontId="4"/>
  </si>
  <si>
    <t xml:space="preserve"> 100個/mL以下</t>
    <rPh sb="4" eb="5">
      <t>コ</t>
    </rPh>
    <rPh sb="8" eb="10">
      <t>イカ</t>
    </rPh>
    <phoneticPr fontId="4"/>
  </si>
  <si>
    <t xml:space="preserve"> 0.0005 以下</t>
    <rPh sb="8" eb="10">
      <t>イカ</t>
    </rPh>
    <phoneticPr fontId="4"/>
  </si>
  <si>
    <t xml:space="preserve"> 0.05 以下</t>
    <rPh sb="6" eb="8">
      <t>イカ</t>
    </rPh>
    <phoneticPr fontId="4"/>
  </si>
  <si>
    <t xml:space="preserve"> 10 以下</t>
    <rPh sb="4" eb="6">
      <t>イカ</t>
    </rPh>
    <phoneticPr fontId="4"/>
  </si>
  <si>
    <t xml:space="preserve"> 0.8 以下</t>
    <rPh sb="5" eb="7">
      <t>イカ</t>
    </rPh>
    <phoneticPr fontId="4"/>
  </si>
  <si>
    <t xml:space="preserve"> 1.0 以下</t>
    <rPh sb="5" eb="7">
      <t>イカ</t>
    </rPh>
    <phoneticPr fontId="4"/>
  </si>
  <si>
    <t xml:space="preserve"> 0.002 以下</t>
    <rPh sb="7" eb="9">
      <t>イカ</t>
    </rPh>
    <phoneticPr fontId="4"/>
  </si>
  <si>
    <t xml:space="preserve"> 0.03 以下</t>
    <rPh sb="6" eb="8">
      <t>イカ</t>
    </rPh>
    <phoneticPr fontId="4"/>
  </si>
  <si>
    <t xml:space="preserve"> 0.06 以下</t>
    <rPh sb="6" eb="8">
      <t>イカ</t>
    </rPh>
    <phoneticPr fontId="4"/>
  </si>
  <si>
    <t xml:space="preserve"> 検出されないこと</t>
    <rPh sb="1" eb="3">
      <t>ケンシュツ</t>
    </rPh>
    <phoneticPr fontId="4"/>
  </si>
  <si>
    <t xml:space="preserve"> 0.09 以下</t>
    <rPh sb="6" eb="8">
      <t>イカ</t>
    </rPh>
    <phoneticPr fontId="4"/>
  </si>
  <si>
    <t xml:space="preserve"> 0.08 以下</t>
    <rPh sb="6" eb="8">
      <t>イカ</t>
    </rPh>
    <phoneticPr fontId="4"/>
  </si>
  <si>
    <t xml:space="preserve"> 0.00001 以下</t>
    <rPh sb="9" eb="11">
      <t>イカ</t>
    </rPh>
    <phoneticPr fontId="4"/>
  </si>
  <si>
    <t xml:space="preserve"> 0.005 以下</t>
    <rPh sb="7" eb="9">
      <t>イカ</t>
    </rPh>
    <phoneticPr fontId="4"/>
  </si>
  <si>
    <t xml:space="preserve"> 5度 以下</t>
    <rPh sb="2" eb="3">
      <t>ド</t>
    </rPh>
    <rPh sb="4" eb="6">
      <t>イカ</t>
    </rPh>
    <phoneticPr fontId="4"/>
  </si>
  <si>
    <t xml:space="preserve"> 2度 以下</t>
    <rPh sb="2" eb="3">
      <t>ド</t>
    </rPh>
    <rPh sb="4" eb="6">
      <t>イカ</t>
    </rPh>
    <phoneticPr fontId="4"/>
  </si>
  <si>
    <t xml:space="preserve"> 異常でないこと</t>
    <rPh sb="1" eb="3">
      <t>イジョウ</t>
    </rPh>
    <phoneticPr fontId="4"/>
  </si>
  <si>
    <t>※1 農薬類の目標値は、各農薬の検出値をそれぞれの目標値で除した値を合計として、その合計値が１以下であることを示す。</t>
    <rPh sb="3" eb="6">
      <t>ノウヤクルイ</t>
    </rPh>
    <rPh sb="7" eb="10">
      <t>モクヒョウチ</t>
    </rPh>
    <rPh sb="12" eb="13">
      <t>カク</t>
    </rPh>
    <rPh sb="13" eb="15">
      <t>ノウヤク</t>
    </rPh>
    <rPh sb="16" eb="19">
      <t>ケンシュツチ</t>
    </rPh>
    <rPh sb="25" eb="28">
      <t>モクヒョウチ</t>
    </rPh>
    <rPh sb="29" eb="30">
      <t>ジョ</t>
    </rPh>
    <rPh sb="32" eb="33">
      <t>アタイ</t>
    </rPh>
    <rPh sb="34" eb="36">
      <t>ゴウケイ</t>
    </rPh>
    <rPh sb="42" eb="45">
      <t>ゴウケイチ</t>
    </rPh>
    <rPh sb="47" eb="49">
      <t>イカ</t>
    </rPh>
    <rPh sb="55" eb="56">
      <t>シメ</t>
    </rPh>
    <phoneticPr fontId="4"/>
  </si>
  <si>
    <t>そ　の　他　項　目</t>
    <rPh sb="4" eb="5">
      <t>タ</t>
    </rPh>
    <rPh sb="6" eb="7">
      <t>コウ</t>
    </rPh>
    <rPh sb="8" eb="9">
      <t>メ</t>
    </rPh>
    <phoneticPr fontId="4"/>
  </si>
  <si>
    <t>試料採取時の   記録事項</t>
    <rPh sb="0" eb="2">
      <t>シリョウ</t>
    </rPh>
    <rPh sb="2" eb="4">
      <t>サイシュ</t>
    </rPh>
    <rPh sb="4" eb="5">
      <t>ジ</t>
    </rPh>
    <rPh sb="9" eb="11">
      <t>キロク</t>
    </rPh>
    <rPh sb="11" eb="13">
      <t>ジコウ</t>
    </rPh>
    <phoneticPr fontId="4"/>
  </si>
  <si>
    <t>水 質 基 準 項 目</t>
    <rPh sb="0" eb="1">
      <t>ミズ</t>
    </rPh>
    <rPh sb="2" eb="3">
      <t>シツ</t>
    </rPh>
    <rPh sb="4" eb="5">
      <t>モト</t>
    </rPh>
    <rPh sb="6" eb="7">
      <t>ジュン</t>
    </rPh>
    <rPh sb="8" eb="9">
      <t>コウ</t>
    </rPh>
    <rPh sb="10" eb="11">
      <t>メ</t>
    </rPh>
    <phoneticPr fontId="4"/>
  </si>
  <si>
    <t>基 準 の 適 合 状 況</t>
    <rPh sb="0" eb="1">
      <t>モト</t>
    </rPh>
    <rPh sb="2" eb="3">
      <t>ジュン</t>
    </rPh>
    <rPh sb="6" eb="7">
      <t>テキ</t>
    </rPh>
    <rPh sb="8" eb="9">
      <t>ゴウ</t>
    </rPh>
    <rPh sb="10" eb="11">
      <t>ジョウ</t>
    </rPh>
    <rPh sb="12" eb="13">
      <t>キョウ</t>
    </rPh>
    <phoneticPr fontId="4"/>
  </si>
  <si>
    <t>検    査    機    関</t>
    <rPh sb="0" eb="1">
      <t>ケン</t>
    </rPh>
    <rPh sb="5" eb="6">
      <t>サ</t>
    </rPh>
    <rPh sb="10" eb="11">
      <t>キ</t>
    </rPh>
    <rPh sb="15" eb="16">
      <t>セキ</t>
    </rPh>
    <phoneticPr fontId="4"/>
  </si>
  <si>
    <t>有機物（ＴＯＣ：全有機炭素）</t>
    <rPh sb="0" eb="3">
      <t>ユウキブツ</t>
    </rPh>
    <rPh sb="8" eb="9">
      <t>ゼン</t>
    </rPh>
    <rPh sb="9" eb="11">
      <t>ユウキ</t>
    </rPh>
    <rPh sb="11" eb="13">
      <t>タンソ</t>
    </rPh>
    <phoneticPr fontId="4"/>
  </si>
  <si>
    <t>アンモニア態窒素</t>
    <rPh sb="5" eb="6">
      <t>タイ</t>
    </rPh>
    <rPh sb="6" eb="8">
      <t>チッソ</t>
    </rPh>
    <phoneticPr fontId="4"/>
  </si>
  <si>
    <t>ＵＶ吸光度</t>
    <rPh sb="2" eb="3">
      <t>キュウ</t>
    </rPh>
    <rPh sb="3" eb="5">
      <t>コウド</t>
    </rPh>
    <phoneticPr fontId="4"/>
  </si>
  <si>
    <t>全窒素</t>
    <rPh sb="0" eb="1">
      <t>ゼン</t>
    </rPh>
    <rPh sb="1" eb="3">
      <t>チッソ</t>
    </rPh>
    <phoneticPr fontId="4"/>
  </si>
  <si>
    <t>トリハロメタン生成能</t>
    <rPh sb="7" eb="9">
      <t>セイセイ</t>
    </rPh>
    <rPh sb="9" eb="10">
      <t>ノウ</t>
    </rPh>
    <phoneticPr fontId="4"/>
  </si>
  <si>
    <t>単位</t>
    <rPh sb="0" eb="2">
      <t>タンイ</t>
    </rPh>
    <phoneticPr fontId="4"/>
  </si>
  <si>
    <t>浄水池</t>
    <rPh sb="0" eb="3">
      <t>ジョウスイチ</t>
    </rPh>
    <phoneticPr fontId="4"/>
  </si>
  <si>
    <t>平田浄水場</t>
    <rPh sb="0" eb="2">
      <t>ヒラタ</t>
    </rPh>
    <rPh sb="2" eb="4">
      <t>ジョウスイ</t>
    </rPh>
    <rPh sb="4" eb="5">
      <t>ジョウ</t>
    </rPh>
    <phoneticPr fontId="4"/>
  </si>
  <si>
    <t>1,4-ジオキサン</t>
    <phoneticPr fontId="4"/>
  </si>
  <si>
    <t>ジクロロメタン</t>
    <phoneticPr fontId="4"/>
  </si>
  <si>
    <t>テトラクロロエチレン</t>
    <phoneticPr fontId="4"/>
  </si>
  <si>
    <t>トリクロロエチレン</t>
    <phoneticPr fontId="4"/>
  </si>
  <si>
    <t>ベンゼン</t>
    <phoneticPr fontId="4"/>
  </si>
  <si>
    <t>クロロホルム</t>
    <phoneticPr fontId="4"/>
  </si>
  <si>
    <t>ジブロモクロロメタン</t>
    <phoneticPr fontId="4"/>
  </si>
  <si>
    <t>ブロモジクロロメタン</t>
    <phoneticPr fontId="4"/>
  </si>
  <si>
    <t>ブロモホルム</t>
    <phoneticPr fontId="4"/>
  </si>
  <si>
    <t>ホルムアルデヒド</t>
    <phoneticPr fontId="4"/>
  </si>
  <si>
    <t>量水所</t>
    <rPh sb="0" eb="1">
      <t>リョウ</t>
    </rPh>
    <rPh sb="1" eb="2">
      <t>スイ</t>
    </rPh>
    <rPh sb="2" eb="3">
      <t>ジョ</t>
    </rPh>
    <phoneticPr fontId="4"/>
  </si>
  <si>
    <t>松山量水所</t>
    <rPh sb="0" eb="2">
      <t>マツヤマ</t>
    </rPh>
    <rPh sb="2" eb="3">
      <t>リョウ</t>
    </rPh>
    <rPh sb="3" eb="4">
      <t>スイ</t>
    </rPh>
    <rPh sb="4" eb="5">
      <t>ジョ</t>
    </rPh>
    <phoneticPr fontId="4"/>
  </si>
  <si>
    <t>酒田量水所</t>
    <rPh sb="0" eb="2">
      <t>サカタ</t>
    </rPh>
    <rPh sb="2" eb="3">
      <t>リョウ</t>
    </rPh>
    <rPh sb="3" eb="4">
      <t>スイ</t>
    </rPh>
    <rPh sb="4" eb="5">
      <t>ジョ</t>
    </rPh>
    <phoneticPr fontId="4"/>
  </si>
  <si>
    <t>平田第２量水所</t>
    <rPh sb="0" eb="2">
      <t>ヒラタ</t>
    </rPh>
    <rPh sb="2" eb="3">
      <t>ダイ</t>
    </rPh>
    <rPh sb="4" eb="5">
      <t>リョウ</t>
    </rPh>
    <rPh sb="5" eb="6">
      <t>スイ</t>
    </rPh>
    <rPh sb="6" eb="7">
      <t>ジョ</t>
    </rPh>
    <phoneticPr fontId="4"/>
  </si>
  <si>
    <t>1,2-ジクロロエタン</t>
    <phoneticPr fontId="4"/>
  </si>
  <si>
    <t>トルエン</t>
    <phoneticPr fontId="4"/>
  </si>
  <si>
    <t>ジクロロアセトニトリル</t>
    <phoneticPr fontId="4"/>
  </si>
  <si>
    <t>1,1,1-トリクロロエタン</t>
    <phoneticPr fontId="4"/>
  </si>
  <si>
    <t>メチル-t-ブチルエーテル</t>
    <phoneticPr fontId="4"/>
  </si>
  <si>
    <t>クリプトスポリジウム</t>
    <phoneticPr fontId="5"/>
  </si>
  <si>
    <t>ジアルジア</t>
    <phoneticPr fontId="5"/>
  </si>
  <si>
    <t>原水</t>
    <rPh sb="0" eb="2">
      <t>ゲンスイ</t>
    </rPh>
    <phoneticPr fontId="4"/>
  </si>
  <si>
    <t>(mg/L)</t>
    <phoneticPr fontId="4"/>
  </si>
  <si>
    <t>ＢＯＤ</t>
    <phoneticPr fontId="4"/>
  </si>
  <si>
    <t>ＣＯＤ</t>
    <phoneticPr fontId="4"/>
  </si>
  <si>
    <t>(Abs)</t>
    <phoneticPr fontId="4"/>
  </si>
  <si>
    <t>ＳＳ</t>
    <phoneticPr fontId="4"/>
  </si>
  <si>
    <t>(mg/L)</t>
    <phoneticPr fontId="4"/>
  </si>
  <si>
    <t>(mg/L)</t>
    <phoneticPr fontId="4"/>
  </si>
  <si>
    <t>(mg/L)</t>
    <phoneticPr fontId="4"/>
  </si>
  <si>
    <t>(mg/L)</t>
    <phoneticPr fontId="4"/>
  </si>
  <si>
    <t>糞便性大腸菌群数</t>
  </si>
  <si>
    <t>総アルカリ度</t>
  </si>
  <si>
    <t>リン酸イオン</t>
  </si>
  <si>
    <t>(CFU/100mL)</t>
    <phoneticPr fontId="4"/>
  </si>
  <si>
    <t>クロロホルム</t>
    <phoneticPr fontId="4"/>
  </si>
  <si>
    <t>(mg/L)</t>
    <phoneticPr fontId="4"/>
  </si>
  <si>
    <t>ＳＳ</t>
    <phoneticPr fontId="4"/>
  </si>
  <si>
    <t>(mg/L)</t>
    <phoneticPr fontId="4"/>
  </si>
  <si>
    <t>1,4-ジオキサン</t>
    <phoneticPr fontId="4"/>
  </si>
  <si>
    <t>ジクロロメタン</t>
    <phoneticPr fontId="4"/>
  </si>
  <si>
    <t>テトラクロロエチレン</t>
    <phoneticPr fontId="4"/>
  </si>
  <si>
    <t>トリクロロエチレン</t>
    <phoneticPr fontId="4"/>
  </si>
  <si>
    <t>ベンゼン</t>
    <phoneticPr fontId="4"/>
  </si>
  <si>
    <t>ジブロモクロロメタン</t>
    <phoneticPr fontId="4"/>
  </si>
  <si>
    <t>ブロモジクロロメタン</t>
    <phoneticPr fontId="4"/>
  </si>
  <si>
    <t>ブロモホルム</t>
    <phoneticPr fontId="4"/>
  </si>
  <si>
    <t>ホルムアルデヒド</t>
    <phoneticPr fontId="4"/>
  </si>
  <si>
    <t>ＢＯＤ</t>
    <phoneticPr fontId="4"/>
  </si>
  <si>
    <t>(mg/L)</t>
    <phoneticPr fontId="4"/>
  </si>
  <si>
    <t>ＣＯＤ</t>
    <phoneticPr fontId="4"/>
  </si>
  <si>
    <t>1,4-ジオキサン</t>
    <phoneticPr fontId="4"/>
  </si>
  <si>
    <t>ジクロロメタン</t>
    <phoneticPr fontId="4"/>
  </si>
  <si>
    <t>テトラクロロエチレン</t>
    <phoneticPr fontId="4"/>
  </si>
  <si>
    <t>トリクロロエチレン</t>
    <phoneticPr fontId="4"/>
  </si>
  <si>
    <t>ベンゼン</t>
    <phoneticPr fontId="4"/>
  </si>
  <si>
    <t>ジブロモクロロメタン</t>
    <phoneticPr fontId="4"/>
  </si>
  <si>
    <t>ブロモジクロロメタン</t>
    <phoneticPr fontId="4"/>
  </si>
  <si>
    <t>ブロモホルム</t>
    <phoneticPr fontId="4"/>
  </si>
  <si>
    <t>ホルムアルデヒド</t>
    <phoneticPr fontId="4"/>
  </si>
  <si>
    <t>２</t>
  </si>
  <si>
    <t>環境</t>
    <rPh sb="0" eb="2">
      <t>カンキョウ</t>
    </rPh>
    <phoneticPr fontId="4"/>
  </si>
  <si>
    <t>田沢川ダム</t>
    <rPh sb="0" eb="2">
      <t>タザワ</t>
    </rPh>
    <rPh sb="2" eb="3">
      <t>ガワ</t>
    </rPh>
    <phoneticPr fontId="4"/>
  </si>
  <si>
    <t>全リン</t>
    <rPh sb="0" eb="1">
      <t>ゼン</t>
    </rPh>
    <phoneticPr fontId="4"/>
  </si>
  <si>
    <t>ＤＯ</t>
    <phoneticPr fontId="4"/>
  </si>
  <si>
    <t>透明度</t>
    <rPh sb="0" eb="3">
      <t>トウメイド</t>
    </rPh>
    <phoneticPr fontId="4"/>
  </si>
  <si>
    <t>クロロフィルa</t>
    <phoneticPr fontId="4"/>
  </si>
  <si>
    <t>(mg/L)</t>
  </si>
  <si>
    <t>(m)</t>
    <phoneticPr fontId="4"/>
  </si>
  <si>
    <t>１及び２</t>
    <rPh sb="1" eb="2">
      <t>オヨ</t>
    </rPh>
    <phoneticPr fontId="4"/>
  </si>
  <si>
    <t>（表層）</t>
    <rPh sb="1" eb="3">
      <t>ヒョウソウ</t>
    </rPh>
    <phoneticPr fontId="4"/>
  </si>
  <si>
    <t>1,1-ジクロロエチレン</t>
    <phoneticPr fontId="4"/>
  </si>
  <si>
    <t xml:space="preserve"> 0.004 以下</t>
    <rPh sb="7" eb="9">
      <t>イカ</t>
    </rPh>
    <phoneticPr fontId="4"/>
  </si>
  <si>
    <t xml:space="preserve"> 0.003 以下</t>
    <rPh sb="7" eb="9">
      <t>イカ</t>
    </rPh>
    <phoneticPr fontId="4"/>
  </si>
  <si>
    <t>亜硝酸態窒素</t>
    <rPh sb="0" eb="3">
      <t>アショウサン</t>
    </rPh>
    <rPh sb="3" eb="4">
      <t>タイ</t>
    </rPh>
    <rPh sb="4" eb="6">
      <t>チッソ</t>
    </rPh>
    <phoneticPr fontId="4"/>
  </si>
  <si>
    <t>定量下限値</t>
    <rPh sb="0" eb="2">
      <t>テイリョウ</t>
    </rPh>
    <rPh sb="2" eb="4">
      <t>カゲン</t>
    </rPh>
    <rPh sb="4" eb="5">
      <t>チ</t>
    </rPh>
    <phoneticPr fontId="4"/>
  </si>
  <si>
    <t>様式１</t>
    <rPh sb="0" eb="2">
      <t>ヨウシキ</t>
    </rPh>
    <phoneticPr fontId="4"/>
  </si>
  <si>
    <t>毎 日 水 質 検 査 結 果</t>
    <rPh sb="0" eb="1">
      <t>ゴト</t>
    </rPh>
    <rPh sb="2" eb="3">
      <t>ヒ</t>
    </rPh>
    <rPh sb="4" eb="5">
      <t>ミズ</t>
    </rPh>
    <rPh sb="6" eb="7">
      <t>シツ</t>
    </rPh>
    <rPh sb="8" eb="9">
      <t>ケン</t>
    </rPh>
    <rPh sb="10" eb="11">
      <t>ジャ</t>
    </rPh>
    <rPh sb="12" eb="13">
      <t>ケツ</t>
    </rPh>
    <rPh sb="14" eb="15">
      <t>カ</t>
    </rPh>
    <phoneticPr fontId="4"/>
  </si>
  <si>
    <t>検 査 地 点</t>
    <rPh sb="0" eb="1">
      <t>ケン</t>
    </rPh>
    <rPh sb="2" eb="3">
      <t>ジャ</t>
    </rPh>
    <rPh sb="4" eb="5">
      <t>チ</t>
    </rPh>
    <rPh sb="6" eb="7">
      <t>テン</t>
    </rPh>
    <phoneticPr fontId="4"/>
  </si>
  <si>
    <t>月</t>
    <rPh sb="0" eb="1">
      <t>ツキ</t>
    </rPh>
    <phoneticPr fontId="4"/>
  </si>
  <si>
    <t>項　目</t>
    <rPh sb="0" eb="1">
      <t>コウ</t>
    </rPh>
    <rPh sb="2" eb="3">
      <t>メ</t>
    </rPh>
    <phoneticPr fontId="4"/>
  </si>
  <si>
    <t>平均</t>
    <rPh sb="0" eb="2">
      <t>ヘイキン</t>
    </rPh>
    <phoneticPr fontId="4"/>
  </si>
  <si>
    <t>最小</t>
    <rPh sb="0" eb="2">
      <t>サイショウ</t>
    </rPh>
    <phoneticPr fontId="4"/>
  </si>
  <si>
    <t>最大</t>
    <rPh sb="0" eb="2">
      <t>サイダイ</t>
    </rPh>
    <phoneticPr fontId="4"/>
  </si>
  <si>
    <t>４月</t>
    <rPh sb="1" eb="2">
      <t>ガツ</t>
    </rPh>
    <phoneticPr fontId="4"/>
  </si>
  <si>
    <t>色・色度</t>
    <rPh sb="0" eb="1">
      <t>イロ</t>
    </rPh>
    <rPh sb="2" eb="3">
      <t>シキ</t>
    </rPh>
    <rPh sb="3" eb="4">
      <t>ド</t>
    </rPh>
    <phoneticPr fontId="4"/>
  </si>
  <si>
    <t>(</t>
  </si>
  <si>
    <t>～</t>
  </si>
  <si>
    <t>)</t>
  </si>
  <si>
    <t>濁り・濁度</t>
    <rPh sb="0" eb="1">
      <t>ニゴ</t>
    </rPh>
    <rPh sb="3" eb="4">
      <t>ダク</t>
    </rPh>
    <rPh sb="4" eb="5">
      <t>ド</t>
    </rPh>
    <phoneticPr fontId="4"/>
  </si>
  <si>
    <t>５月</t>
    <rPh sb="1" eb="2">
      <t>ガツ</t>
    </rPh>
    <phoneticPr fontId="4"/>
  </si>
  <si>
    <t>色・色度</t>
  </si>
  <si>
    <t>濁り・濁度</t>
  </si>
  <si>
    <t>残留塩素</t>
  </si>
  <si>
    <t>６月</t>
    <rPh sb="1" eb="2">
      <t>ガツ</t>
    </rPh>
    <phoneticPr fontId="4"/>
  </si>
  <si>
    <t>７月</t>
    <rPh sb="1" eb="2">
      <t>ガツ</t>
    </rPh>
    <phoneticPr fontId="4"/>
  </si>
  <si>
    <t>８月</t>
    <rPh sb="1" eb="2">
      <t>ガツ</t>
    </rPh>
    <phoneticPr fontId="4"/>
  </si>
  <si>
    <t>９月</t>
    <rPh sb="1" eb="2">
      <t>ガツ</t>
    </rPh>
    <phoneticPr fontId="4"/>
  </si>
  <si>
    <t>10月</t>
    <rPh sb="2" eb="3">
      <t>ガツ</t>
    </rPh>
    <phoneticPr fontId="4"/>
  </si>
  <si>
    <t>11月</t>
    <rPh sb="2" eb="3">
      <t>ガツ</t>
    </rPh>
    <phoneticPr fontId="4"/>
  </si>
  <si>
    <t>12月</t>
    <rPh sb="2" eb="3">
      <t>ガツ</t>
    </rPh>
    <phoneticPr fontId="4"/>
  </si>
  <si>
    <t>１月</t>
    <rPh sb="1" eb="2">
      <t>ガツ</t>
    </rPh>
    <phoneticPr fontId="4"/>
  </si>
  <si>
    <t>２月</t>
    <rPh sb="1" eb="2">
      <t>ガツ</t>
    </rPh>
    <phoneticPr fontId="4"/>
  </si>
  <si>
    <t>３月</t>
    <rPh sb="1" eb="2">
      <t>ガツ</t>
    </rPh>
    <phoneticPr fontId="4"/>
  </si>
  <si>
    <t>(</t>
    <phoneticPr fontId="4"/>
  </si>
  <si>
    <t>～</t>
    <phoneticPr fontId="4"/>
  </si>
  <si>
    <t>)</t>
    <phoneticPr fontId="4"/>
  </si>
  <si>
    <t>２</t>
    <phoneticPr fontId="4"/>
  </si>
  <si>
    <t xml:space="preserve">ジェオスミン </t>
    <phoneticPr fontId="4"/>
  </si>
  <si>
    <t xml:space="preserve">2-メチルイソボルネオール </t>
    <phoneticPr fontId="4"/>
  </si>
  <si>
    <t xml:space="preserve">ジェオスミン </t>
    <phoneticPr fontId="4"/>
  </si>
  <si>
    <t xml:space="preserve">2-メチルイソボルネオール </t>
    <phoneticPr fontId="4"/>
  </si>
  <si>
    <t>(MPN/100mL)</t>
  </si>
  <si>
    <t>嫌気性芽胞菌</t>
    <rPh sb="0" eb="3">
      <t>ケンキセイ</t>
    </rPh>
    <rPh sb="3" eb="4">
      <t>メ</t>
    </rPh>
    <rPh sb="4" eb="5">
      <t>ホウ</t>
    </rPh>
    <rPh sb="5" eb="6">
      <t>キン</t>
    </rPh>
    <phoneticPr fontId="4"/>
  </si>
  <si>
    <t>（-20m）</t>
    <phoneticPr fontId="4"/>
  </si>
  <si>
    <t>（-30m）</t>
    <phoneticPr fontId="4"/>
  </si>
  <si>
    <t>塩素酸</t>
    <rPh sb="0" eb="3">
      <t>エンソサン</t>
    </rPh>
    <phoneticPr fontId="4"/>
  </si>
  <si>
    <t>従属栄養細菌</t>
    <rPh sb="0" eb="2">
      <t>ジュウゾク</t>
    </rPh>
    <rPh sb="2" eb="4">
      <t>エイヨウ</t>
    </rPh>
    <rPh sb="4" eb="6">
      <t>サイキン</t>
    </rPh>
    <phoneticPr fontId="4"/>
  </si>
  <si>
    <t>1mlの検水で形成される    集落数2,000以下(暫定)</t>
    <rPh sb="4" eb="5">
      <t>ケン</t>
    </rPh>
    <rPh sb="5" eb="6">
      <t>ミズ</t>
    </rPh>
    <rPh sb="7" eb="9">
      <t>ケイセイ</t>
    </rPh>
    <rPh sb="16" eb="18">
      <t>シュウラク</t>
    </rPh>
    <rPh sb="18" eb="19">
      <t>スウ</t>
    </rPh>
    <rPh sb="24" eb="26">
      <t>イカ</t>
    </rPh>
    <rPh sb="27" eb="29">
      <t>ザンテイ</t>
    </rPh>
    <phoneticPr fontId="4"/>
  </si>
  <si>
    <t>(-10m)</t>
    <phoneticPr fontId="4"/>
  </si>
  <si>
    <t>シス-1,2-ジクロロエチレン及び
トランス-1,2-ジクロロエチレン</t>
    <rPh sb="15" eb="16">
      <t>オヨ</t>
    </rPh>
    <phoneticPr fontId="4"/>
  </si>
  <si>
    <t xml:space="preserve"> 0.01 以下（暫定）</t>
    <rPh sb="6" eb="12">
      <t>イカ</t>
    </rPh>
    <phoneticPr fontId="4"/>
  </si>
  <si>
    <t xml:space="preserve"> 0.02 以下（暫定）</t>
    <rPh sb="6" eb="12">
      <t>イカ</t>
    </rPh>
    <phoneticPr fontId="4"/>
  </si>
  <si>
    <t>1,1-ジクロロエチレン</t>
    <phoneticPr fontId="4"/>
  </si>
  <si>
    <t>微生物</t>
    <rPh sb="0" eb="3">
      <t>ビセイブツ</t>
    </rPh>
    <phoneticPr fontId="4"/>
  </si>
  <si>
    <t>電気伝導率</t>
    <rPh sb="0" eb="2">
      <t>デンキ</t>
    </rPh>
    <rPh sb="2" eb="4">
      <t>デンドウ</t>
    </rPh>
    <rPh sb="4" eb="5">
      <t>リツ</t>
    </rPh>
    <phoneticPr fontId="4"/>
  </si>
  <si>
    <t>(μS/cm)</t>
    <phoneticPr fontId="4"/>
  </si>
  <si>
    <t>水   温 （℃）</t>
    <rPh sb="0" eb="1">
      <t>スイ</t>
    </rPh>
    <rPh sb="4" eb="5">
      <t>アツシ</t>
    </rPh>
    <phoneticPr fontId="5"/>
  </si>
  <si>
    <t>水　　温　(℃)</t>
    <rPh sb="0" eb="1">
      <t>スイ</t>
    </rPh>
    <rPh sb="3" eb="4">
      <t>アツシ</t>
    </rPh>
    <phoneticPr fontId="5"/>
  </si>
  <si>
    <t>侵食性遊離炭酸</t>
    <rPh sb="0" eb="2">
      <t>シンショク</t>
    </rPh>
    <rPh sb="2" eb="3">
      <t>セイ</t>
    </rPh>
    <rPh sb="3" eb="5">
      <t>ユウリ</t>
    </rPh>
    <rPh sb="5" eb="7">
      <t>タンサン</t>
    </rPh>
    <phoneticPr fontId="4"/>
  </si>
  <si>
    <t>２</t>
    <phoneticPr fontId="4"/>
  </si>
  <si>
    <t>(CFU/100mL)</t>
    <phoneticPr fontId="4"/>
  </si>
  <si>
    <t>)</t>
    <phoneticPr fontId="4"/>
  </si>
  <si>
    <t xml:space="preserve"> 0.04以下</t>
    <rPh sb="5" eb="7">
      <t>イカ</t>
    </rPh>
    <phoneticPr fontId="4"/>
  </si>
  <si>
    <t xml:space="preserve"> 0.4 以下</t>
    <rPh sb="5" eb="7">
      <t>イカ</t>
    </rPh>
    <phoneticPr fontId="4"/>
  </si>
  <si>
    <t>異常なし</t>
    <rPh sb="0" eb="2">
      <t>イジョウ</t>
    </rPh>
    <phoneticPr fontId="4"/>
  </si>
  <si>
    <t>適合</t>
    <rPh sb="0" eb="2">
      <t>テキゴウ</t>
    </rPh>
    <phoneticPr fontId="4"/>
  </si>
  <si>
    <t>処理工程</t>
    <rPh sb="0" eb="2">
      <t>ショリ</t>
    </rPh>
    <rPh sb="2" eb="4">
      <t>コウテイ</t>
    </rPh>
    <phoneticPr fontId="4"/>
  </si>
  <si>
    <t>平田浄水場（沈殿水）</t>
    <rPh sb="0" eb="2">
      <t>ヒラタ</t>
    </rPh>
    <rPh sb="2" eb="4">
      <t>ジョウスイ</t>
    </rPh>
    <rPh sb="4" eb="5">
      <t>ジョウ</t>
    </rPh>
    <rPh sb="6" eb="8">
      <t>チンデン</t>
    </rPh>
    <rPh sb="8" eb="9">
      <t>スイ</t>
    </rPh>
    <phoneticPr fontId="4"/>
  </si>
  <si>
    <t>平田浄水場（ろ過水）</t>
    <rPh sb="0" eb="2">
      <t>ヒラタ</t>
    </rPh>
    <rPh sb="2" eb="4">
      <t>ジョウスイ</t>
    </rPh>
    <rPh sb="4" eb="5">
      <t>ジョウ</t>
    </rPh>
    <rPh sb="7" eb="8">
      <t>カ</t>
    </rPh>
    <rPh sb="8" eb="9">
      <t>スイ</t>
    </rPh>
    <phoneticPr fontId="4"/>
  </si>
  <si>
    <t>ジブロモクロロメタン</t>
    <phoneticPr fontId="4"/>
  </si>
  <si>
    <t>ブロモホルム</t>
    <phoneticPr fontId="4"/>
  </si>
  <si>
    <t>ホルムアルデヒド</t>
    <phoneticPr fontId="4"/>
  </si>
  <si>
    <t xml:space="preserve">ジェオスミン </t>
    <phoneticPr fontId="4"/>
  </si>
  <si>
    <t xml:space="preserve">2-メチルイソボルネオール </t>
    <phoneticPr fontId="4"/>
  </si>
  <si>
    <t>２</t>
    <phoneticPr fontId="4"/>
  </si>
  <si>
    <t>1,4-ジオキサン</t>
    <phoneticPr fontId="4"/>
  </si>
  <si>
    <t>ジクロロメタン</t>
    <phoneticPr fontId="4"/>
  </si>
  <si>
    <t>テトラクロロエチレン</t>
    <phoneticPr fontId="4"/>
  </si>
  <si>
    <t>トリクロロエチレン</t>
    <phoneticPr fontId="4"/>
  </si>
  <si>
    <t>ベンゼン</t>
    <phoneticPr fontId="4"/>
  </si>
  <si>
    <t>クロロホルム</t>
    <phoneticPr fontId="4"/>
  </si>
  <si>
    <t>ジブロモクロロメタン</t>
    <phoneticPr fontId="4"/>
  </si>
  <si>
    <t>ブロモジクロロメタン</t>
    <phoneticPr fontId="4"/>
  </si>
  <si>
    <t>ブロモホルム</t>
    <phoneticPr fontId="4"/>
  </si>
  <si>
    <t>ホルムアルデヒド</t>
    <phoneticPr fontId="4"/>
  </si>
  <si>
    <t>1度未満</t>
    <rPh sb="1" eb="2">
      <t>ド</t>
    </rPh>
    <rPh sb="2" eb="4">
      <t>ミマン</t>
    </rPh>
    <phoneticPr fontId="4"/>
  </si>
  <si>
    <t>0.1度未満</t>
    <rPh sb="3" eb="4">
      <t>ド</t>
    </rPh>
    <rPh sb="4" eb="6">
      <t>ミマン</t>
    </rPh>
    <phoneticPr fontId="4"/>
  </si>
  <si>
    <t>適合</t>
  </si>
  <si>
    <t>ペルフルオロオクタンスルホン酸及び
ペルフルオロオクタン酸</t>
    <rPh sb="14" eb="15">
      <t>サン</t>
    </rPh>
    <rPh sb="15" eb="16">
      <t>オヨ</t>
    </rPh>
    <rPh sb="28" eb="29">
      <t>サン</t>
    </rPh>
    <phoneticPr fontId="4"/>
  </si>
  <si>
    <t>採  水  月  日</t>
    <phoneticPr fontId="5"/>
  </si>
  <si>
    <t>0.1度未満</t>
    <phoneticPr fontId="4"/>
  </si>
  <si>
    <t>0.00005 以下</t>
    <rPh sb="8" eb="10">
      <t>イカ</t>
    </rPh>
    <phoneticPr fontId="4"/>
  </si>
  <si>
    <t xml:space="preserve"> 0.00005 以下</t>
    <rPh sb="9" eb="11">
      <t>イカ</t>
    </rPh>
    <phoneticPr fontId="4"/>
  </si>
  <si>
    <t>試料採取時の
記録事項</t>
    <rPh sb="0" eb="2">
      <t>シリョウ</t>
    </rPh>
    <rPh sb="2" eb="4">
      <t>サイシュ</t>
    </rPh>
    <rPh sb="4" eb="5">
      <t>ジ</t>
    </rPh>
    <rPh sb="7" eb="9">
      <t>キロク</t>
    </rPh>
    <rPh sb="9" eb="11">
      <t>ジコウ</t>
    </rPh>
    <phoneticPr fontId="4"/>
  </si>
  <si>
    <t>田沢川</t>
    <rPh sb="0" eb="2">
      <t>タザワ</t>
    </rPh>
    <rPh sb="2" eb="3">
      <t>カワ</t>
    </rPh>
    <phoneticPr fontId="4"/>
  </si>
  <si>
    <t>曇</t>
    <rPh sb="0" eb="1">
      <t>クモ</t>
    </rPh>
    <phoneticPr fontId="4"/>
  </si>
  <si>
    <t>不検出</t>
    <rPh sb="0" eb="1">
      <t>フ</t>
    </rPh>
    <rPh sb="1" eb="3">
      <t>ケンシュツ</t>
    </rPh>
    <phoneticPr fontId="4"/>
  </si>
  <si>
    <t>&lt;0.0003</t>
  </si>
  <si>
    <t>&lt;0.00005</t>
  </si>
  <si>
    <t>&lt;0.001</t>
  </si>
  <si>
    <t>&lt;0.002</t>
  </si>
  <si>
    <t>&lt;0.004</t>
  </si>
  <si>
    <t>&lt;0.08</t>
  </si>
  <si>
    <t>&lt;0.1</t>
  </si>
  <si>
    <t>&lt;0.0002</t>
  </si>
  <si>
    <t>&lt;0.005</t>
  </si>
  <si>
    <t>&lt;0.01</t>
  </si>
  <si>
    <t>&lt;0.02</t>
  </si>
  <si>
    <t>&lt;0.000001</t>
  </si>
  <si>
    <t>&lt;0.0005</t>
  </si>
  <si>
    <t>微土臭</t>
    <rPh sb="0" eb="1">
      <t>ビ</t>
    </rPh>
    <rPh sb="1" eb="2">
      <t>ド</t>
    </rPh>
    <rPh sb="2" eb="3">
      <t>シュウ</t>
    </rPh>
    <phoneticPr fontId="4"/>
  </si>
  <si>
    <t>&lt;1.8</t>
  </si>
  <si>
    <t>&lt;0.0004</t>
  </si>
  <si>
    <t>&lt;0.04</t>
  </si>
  <si>
    <t>&lt;0.008</t>
  </si>
  <si>
    <t>&lt;0.06</t>
  </si>
  <si>
    <t>&lt;0.003</t>
  </si>
  <si>
    <t>&lt;0.03</t>
  </si>
  <si>
    <t>&lt;0.3</t>
  </si>
  <si>
    <t>&lt;0.5</t>
  </si>
  <si>
    <t>&lt;1</t>
  </si>
  <si>
    <t>異常なし</t>
  </si>
  <si>
    <t>検出値と目標値の比の和</t>
    <rPh sb="0" eb="3">
      <t>ケンシュツチ</t>
    </rPh>
    <rPh sb="4" eb="7">
      <t>モクヒョウチ</t>
    </rPh>
    <rPh sb="8" eb="9">
      <t>ヒ</t>
    </rPh>
    <rPh sb="10" eb="11">
      <t>ワ</t>
    </rPh>
    <phoneticPr fontId="4"/>
  </si>
  <si>
    <t>除草剤</t>
    <rPh sb="0" eb="3">
      <t>ジョソウザイ</t>
    </rPh>
    <phoneticPr fontId="5"/>
  </si>
  <si>
    <t>モリネート</t>
  </si>
  <si>
    <t>殺虫剤，殺菌剤</t>
    <rPh sb="0" eb="3">
      <t>サッチュウザイ</t>
    </rPh>
    <rPh sb="4" eb="7">
      <t>サッキンザイ</t>
    </rPh>
    <phoneticPr fontId="5"/>
  </si>
  <si>
    <t>チウラム</t>
  </si>
  <si>
    <t>メプロニル</t>
  </si>
  <si>
    <t>チアジニル</t>
  </si>
  <si>
    <t>メフェナセット</t>
  </si>
  <si>
    <t>0.01
(ﾒﾁﾙｲｿﾁｵｼｱﾈｰﾄとして)</t>
  </si>
  <si>
    <t>殺虫剤</t>
    <rPh sb="0" eb="3">
      <t>サッチュウザイ</t>
    </rPh>
    <phoneticPr fontId="5"/>
  </si>
  <si>
    <t>タゾメット、メタム（カーバム）及び
メチルイソチオシアネート</t>
    <phoneticPr fontId="4"/>
  </si>
  <si>
    <t>除草剤</t>
    <rPh sb="0" eb="3">
      <t>ジョソウザイ</t>
    </rPh>
    <phoneticPr fontId="4"/>
  </si>
  <si>
    <t>メトリブジン</t>
  </si>
  <si>
    <t>殺虫剤，殺菌剤，
除草剤</t>
    <rPh sb="0" eb="3">
      <t>サッチュウザイ</t>
    </rPh>
    <rPh sb="4" eb="7">
      <t>サッキンザイ</t>
    </rPh>
    <rPh sb="9" eb="12">
      <t>ジョソウザイ</t>
    </rPh>
    <phoneticPr fontId="5"/>
  </si>
  <si>
    <t>ダイムロン</t>
  </si>
  <si>
    <t>メトミノストロビン</t>
  </si>
  <si>
    <t>ダイアジノン</t>
  </si>
  <si>
    <t>殺虫剤</t>
    <rPh sb="0" eb="2">
      <t>サッチュウ</t>
    </rPh>
    <rPh sb="2" eb="3">
      <t>ザイ</t>
    </rPh>
    <phoneticPr fontId="4"/>
  </si>
  <si>
    <t>メチダチオン（ＤＭＴＰ）</t>
  </si>
  <si>
    <t>シメトリン</t>
  </si>
  <si>
    <t>メタラキシル</t>
  </si>
  <si>
    <t>殺虫剤</t>
    <rPh sb="0" eb="3">
      <t>サッチュウザイ</t>
    </rPh>
    <phoneticPr fontId="4"/>
  </si>
  <si>
    <t>ジメトエート</t>
  </si>
  <si>
    <t>メソミル</t>
  </si>
  <si>
    <t>ジメタメトリン</t>
  </si>
  <si>
    <t>シマジン（ＣＡＴ）</t>
  </si>
  <si>
    <t>マラチオン（マラソン）</t>
  </si>
  <si>
    <t>シハロホップブチル</t>
  </si>
  <si>
    <t>ホスチアゼート</t>
  </si>
  <si>
    <t>ジチオピル</t>
  </si>
  <si>
    <t>ベンフレセート</t>
  </si>
  <si>
    <t>殺虫剤，殺菌剤</t>
    <rPh sb="0" eb="3">
      <t>サッチュウザイ</t>
    </rPh>
    <rPh sb="4" eb="7">
      <t>サッキンザイ</t>
    </rPh>
    <phoneticPr fontId="4"/>
  </si>
  <si>
    <t>ジチオカルバメート系農薬</t>
    <rPh sb="11" eb="12">
      <t>クスリ</t>
    </rPh>
    <phoneticPr fontId="4"/>
  </si>
  <si>
    <t>ベンフルラリン（ベスロジン）</t>
  </si>
  <si>
    <t>ジスルホトン（エチルチオメトン）</t>
  </si>
  <si>
    <t>ベンフラカルブ</t>
  </si>
  <si>
    <t>ジクワット</t>
  </si>
  <si>
    <t>除草剤，
植物成長調整剤</t>
    <rPh sb="0" eb="3">
      <t>ジョソウザイ</t>
    </rPh>
    <rPh sb="5" eb="7">
      <t>ショクブツ</t>
    </rPh>
    <rPh sb="7" eb="9">
      <t>セイチョウ</t>
    </rPh>
    <rPh sb="9" eb="12">
      <t>チョウセイザイ</t>
    </rPh>
    <phoneticPr fontId="5"/>
  </si>
  <si>
    <t>ペンディメタリン</t>
  </si>
  <si>
    <t>ジクロルボス（ＤＤＶＰ）</t>
  </si>
  <si>
    <t>ベンタゾン</t>
  </si>
  <si>
    <t>ジクロベニル（ＤＢＮ）</t>
  </si>
  <si>
    <t>ベンゾフェナップ</t>
  </si>
  <si>
    <t>ジウロン（ＤＣＭＵ）</t>
  </si>
  <si>
    <t>ベンゾビシクロン</t>
  </si>
  <si>
    <t>シアノホス（ＣＹＡＰ）</t>
  </si>
  <si>
    <t>ペンシクロン</t>
  </si>
  <si>
    <t>シアナジン</t>
  </si>
  <si>
    <t>殺菌剤</t>
    <rPh sb="0" eb="3">
      <t>サッキンザイ</t>
    </rPh>
    <phoneticPr fontId="5"/>
  </si>
  <si>
    <t>ベノミル</t>
  </si>
  <si>
    <t>殺虫剤，除草剤</t>
    <rPh sb="0" eb="3">
      <t>サッチュウザイ</t>
    </rPh>
    <rPh sb="4" eb="7">
      <t>ジョソウザイ</t>
    </rPh>
    <phoneticPr fontId="5"/>
  </si>
  <si>
    <t>ブロモブチド</t>
  </si>
  <si>
    <t xml:space="preserve"> クロルピリホス</t>
  </si>
  <si>
    <t>プロベナゾール</t>
  </si>
  <si>
    <t>クロルニトロフェン（ＣＮP)</t>
  </si>
  <si>
    <t>プロピザミド</t>
  </si>
  <si>
    <t>クロメプロップ</t>
  </si>
  <si>
    <t>プロピコナゾール</t>
  </si>
  <si>
    <t>グルホシネート</t>
  </si>
  <si>
    <t>プロチオホス</t>
  </si>
  <si>
    <t>グリホサート</t>
  </si>
  <si>
    <t>プロシミドン</t>
  </si>
  <si>
    <t>クミルロン</t>
  </si>
  <si>
    <t>プレチラクロール</t>
  </si>
  <si>
    <t>キャプタン</t>
  </si>
  <si>
    <t>フルアジナム</t>
  </si>
  <si>
    <t>キノクラミン（ＡＣＮ）</t>
  </si>
  <si>
    <t>ブプロフェジン</t>
  </si>
  <si>
    <t>代謝物</t>
    <rPh sb="0" eb="2">
      <t>タイシャ</t>
    </rPh>
    <rPh sb="2" eb="3">
      <t>ブツ</t>
    </rPh>
    <phoneticPr fontId="5"/>
  </si>
  <si>
    <t>カルボフラン</t>
  </si>
  <si>
    <t>ブタミホス</t>
  </si>
  <si>
    <t>カルバリル（ＮＡＣ）</t>
  </si>
  <si>
    <t>ブタクロール</t>
  </si>
  <si>
    <t>カルタップ</t>
  </si>
  <si>
    <t>フサライド</t>
  </si>
  <si>
    <t>カフェンストロール</t>
  </si>
  <si>
    <t>フェントラザミド</t>
  </si>
  <si>
    <t>カズサホス</t>
  </si>
  <si>
    <t>フェントエート（ＰＡＰ）</t>
  </si>
  <si>
    <t>オリサストロビン</t>
  </si>
  <si>
    <t>フェンチオン（ＭＰＰ）</t>
  </si>
  <si>
    <t>オキシン銅（有機銅）</t>
  </si>
  <si>
    <t>フェリムゾン</t>
  </si>
  <si>
    <t>オキサジクロメホン</t>
  </si>
  <si>
    <t>フェノブカルブ（ＢＰＭＣ）</t>
  </si>
  <si>
    <t>エンドスルファン（ベンゾエピン）</t>
  </si>
  <si>
    <t>殺虫剤，殺菌剤，
植物成長調整剤</t>
    <rPh sb="0" eb="3">
      <t>サッチュウザイ</t>
    </rPh>
    <rPh sb="4" eb="7">
      <t>サッキンザイ</t>
    </rPh>
    <rPh sb="9" eb="11">
      <t>ショクブツ</t>
    </rPh>
    <rPh sb="11" eb="13">
      <t>セイチョウ</t>
    </rPh>
    <rPh sb="13" eb="16">
      <t>チョウセイザイ</t>
    </rPh>
    <phoneticPr fontId="5"/>
  </si>
  <si>
    <t>フェニトロチオン（ＭＥＰ）</t>
  </si>
  <si>
    <t>エトフェンプロックス</t>
  </si>
  <si>
    <t>フィプロニル</t>
  </si>
  <si>
    <t>エスプロカルブ</t>
  </si>
  <si>
    <t>ピロキロン</t>
  </si>
  <si>
    <t>インダノファン</t>
  </si>
  <si>
    <t>ピリブチカルブ</t>
  </si>
  <si>
    <t>イミノクタジン</t>
  </si>
  <si>
    <t>ピリダフェンチオン</t>
  </si>
  <si>
    <t>イプロベンホス（ＩＢＰ）</t>
  </si>
  <si>
    <t>ピラゾリネート（ピラゾレート）</t>
  </si>
  <si>
    <t>イソプロチオラン（ＩＰＴ）</t>
  </si>
  <si>
    <t>ピラゾキシフェン</t>
  </si>
  <si>
    <t>イソプロカルブ（ＭＩＰＣ）</t>
  </si>
  <si>
    <t>ピラクロニル</t>
  </si>
  <si>
    <t>イソフェンホス</t>
  </si>
  <si>
    <t>ピペロホス</t>
  </si>
  <si>
    <t>イソキサチオン</t>
  </si>
  <si>
    <t>パラコート</t>
  </si>
  <si>
    <t>アラクロール</t>
  </si>
  <si>
    <t>ナプロパミド</t>
  </si>
  <si>
    <t>アミトラズ</t>
  </si>
  <si>
    <t>トリフルラリン</t>
  </si>
  <si>
    <t>アニロホス</t>
  </si>
  <si>
    <t>トリシクラゾール</t>
  </si>
  <si>
    <t>アトラジン</t>
  </si>
  <si>
    <t>トリクロルホン（ＤＥＰ）</t>
  </si>
  <si>
    <t>アセフェート</t>
  </si>
  <si>
    <t>トリクロピル</t>
  </si>
  <si>
    <t>アシュラム</t>
  </si>
  <si>
    <t>ＭＣＰＡ</t>
  </si>
  <si>
    <t>EPN</t>
  </si>
  <si>
    <t>チオベンカルブ</t>
  </si>
  <si>
    <t>2,4-D（2,4-PA)</t>
  </si>
  <si>
    <t>チオファネートメチル</t>
  </si>
  <si>
    <t>2,2-DPA(ダラポン)</t>
  </si>
  <si>
    <t>チオジカルブ</t>
  </si>
  <si>
    <t>1,3-ジクロロプロペン（D-D）</t>
  </si>
  <si>
    <t>目標値との比</t>
    <rPh sb="0" eb="3">
      <t>モクヒョウチ</t>
    </rPh>
    <rPh sb="5" eb="6">
      <t>ヒ</t>
    </rPh>
    <phoneticPr fontId="4"/>
  </si>
  <si>
    <t>測定値</t>
    <rPh sb="0" eb="3">
      <t>ソクテイチ</t>
    </rPh>
    <phoneticPr fontId="4"/>
  </si>
  <si>
    <t>農　　薬　　名</t>
    <rPh sb="0" eb="1">
      <t>ノウ</t>
    </rPh>
    <rPh sb="3" eb="4">
      <t>クスリ</t>
    </rPh>
    <rPh sb="6" eb="7">
      <t>メイ</t>
    </rPh>
    <phoneticPr fontId="4"/>
  </si>
  <si>
    <t>検　査　結　果</t>
    <rPh sb="0" eb="1">
      <t>ケン</t>
    </rPh>
    <rPh sb="2" eb="3">
      <t>ジャ</t>
    </rPh>
    <rPh sb="4" eb="5">
      <t>ケツ</t>
    </rPh>
    <rPh sb="6" eb="7">
      <t>カ</t>
    </rPh>
    <phoneticPr fontId="5"/>
  </si>
  <si>
    <t>目標値</t>
    <rPh sb="0" eb="3">
      <t>モクヒョウチ</t>
    </rPh>
    <phoneticPr fontId="4"/>
  </si>
  <si>
    <t>用途</t>
    <rPh sb="0" eb="1">
      <t>ヨウ</t>
    </rPh>
    <rPh sb="1" eb="2">
      <t>ト</t>
    </rPh>
    <phoneticPr fontId="4"/>
  </si>
  <si>
    <r>
      <t>水質管理目標設定項目のうち15</t>
    </r>
    <r>
      <rPr>
        <b/>
        <sz val="8"/>
        <rFont val="ＭＳ ゴシック"/>
        <family val="3"/>
        <charset val="128"/>
      </rPr>
      <t>農薬類</t>
    </r>
    <rPh sb="0" eb="2">
      <t>スイシツ</t>
    </rPh>
    <rPh sb="2" eb="4">
      <t>カンリ</t>
    </rPh>
    <rPh sb="4" eb="6">
      <t>モクヒョウ</t>
    </rPh>
    <rPh sb="6" eb="8">
      <t>セッテイ</t>
    </rPh>
    <rPh sb="8" eb="10">
      <t>コウモク</t>
    </rPh>
    <rPh sb="15" eb="18">
      <t>ノウヤクルイ</t>
    </rPh>
    <phoneticPr fontId="4"/>
  </si>
  <si>
    <t>残留塩素(mg/l)</t>
    <rPh sb="0" eb="2">
      <t>ザンリュウ</t>
    </rPh>
    <rPh sb="2" eb="4">
      <t>エンソ</t>
    </rPh>
    <phoneticPr fontId="4"/>
  </si>
  <si>
    <t>水　　温　(℃)</t>
    <rPh sb="0" eb="1">
      <t>ミズ</t>
    </rPh>
    <rPh sb="3" eb="4">
      <t>アツシ</t>
    </rPh>
    <phoneticPr fontId="5"/>
  </si>
  <si>
    <t>平田浄水場</t>
    <rPh sb="0" eb="2">
      <t>ヒラタ</t>
    </rPh>
    <rPh sb="2" eb="5">
      <t>ジョウスイジョウ</t>
    </rPh>
    <phoneticPr fontId="4"/>
  </si>
  <si>
    <t>メコプロップ（ＭＣＰＰ）</t>
    <phoneticPr fontId="4"/>
  </si>
  <si>
    <t>クロロタロニル（TＰＮ）</t>
  </si>
  <si>
    <t>晴</t>
    <rPh sb="0" eb="1">
      <t>ハ</t>
    </rPh>
    <phoneticPr fontId="4"/>
  </si>
  <si>
    <t>微土臭</t>
    <rPh sb="0" eb="1">
      <t>ビ</t>
    </rPh>
    <rPh sb="1" eb="2">
      <t>ツチ</t>
    </rPh>
    <rPh sb="2" eb="3">
      <t>シュウ</t>
    </rPh>
    <phoneticPr fontId="4"/>
  </si>
  <si>
    <t>&lt;0.1</t>
    <phoneticPr fontId="4"/>
  </si>
  <si>
    <t>&lt;0.002</t>
    <phoneticPr fontId="4"/>
  </si>
  <si>
    <t>-</t>
    <phoneticPr fontId="4"/>
  </si>
  <si>
    <t>&lt;0.00004</t>
  </si>
  <si>
    <t>&lt;0.009</t>
  </si>
  <si>
    <t>&lt;0.00006</t>
  </si>
  <si>
    <t>&lt;0.0001</t>
  </si>
  <si>
    <t>&lt;0.00003</t>
  </si>
  <si>
    <t>&lt;0.00001</t>
  </si>
  <si>
    <t>&lt;0.0009</t>
  </si>
  <si>
    <t>&lt;0.00009</t>
  </si>
  <si>
    <t>&lt;0.0008</t>
  </si>
  <si>
    <t>&lt;0.000006</t>
  </si>
  <si>
    <t>&lt;0.00008</t>
  </si>
  <si>
    <t>&lt;0.0008</t>
    <phoneticPr fontId="4"/>
  </si>
  <si>
    <t>&lt;0.02</t>
    <phoneticPr fontId="4"/>
  </si>
  <si>
    <t>&lt;0.0001</t>
    <phoneticPr fontId="4"/>
  </si>
  <si>
    <t>&lt;0.00002</t>
  </si>
  <si>
    <t>&lt;0.0006</t>
  </si>
  <si>
    <t>&lt;0.000009</t>
  </si>
  <si>
    <t>&lt;0.000005</t>
  </si>
  <si>
    <t>&lt;0.00007</t>
  </si>
  <si>
    <t>&lt;0.00007</t>
    <phoneticPr fontId="4"/>
  </si>
  <si>
    <t>&lt;0.0007</t>
  </si>
  <si>
    <t>&lt;0.007</t>
  </si>
  <si>
    <t>&lt;0.0002</t>
    <phoneticPr fontId="4"/>
  </si>
  <si>
    <t>&lt;0.000003</t>
    <phoneticPr fontId="4"/>
  </si>
  <si>
    <t>検査機関　１：企業局酒田電気水道事務所　　２：日本環境科学株式会社</t>
    <rPh sb="0" eb="2">
      <t>ケンサ</t>
    </rPh>
    <rPh sb="2" eb="4">
      <t>キカン</t>
    </rPh>
    <rPh sb="12" eb="14">
      <t>デンキ</t>
    </rPh>
    <phoneticPr fontId="4"/>
  </si>
  <si>
    <t>※2 検査機関　１：企業局酒田電気水道事務所　　２：日本環境科学株式会社</t>
    <rPh sb="3" eb="5">
      <t>ケンサ</t>
    </rPh>
    <rPh sb="5" eb="7">
      <t>キカン</t>
    </rPh>
    <rPh sb="15" eb="17">
      <t>デンキ</t>
    </rPh>
    <phoneticPr fontId="4"/>
  </si>
  <si>
    <t>イプフェンカルバゾン</t>
    <phoneticPr fontId="4"/>
  </si>
  <si>
    <t>無機物</t>
    <phoneticPr fontId="4"/>
  </si>
  <si>
    <t>無機物</t>
    <phoneticPr fontId="4"/>
  </si>
  <si>
    <t>その他</t>
    <phoneticPr fontId="4"/>
  </si>
  <si>
    <t>消毒剤</t>
    <rPh sb="0" eb="2">
      <t>ショウドク</t>
    </rPh>
    <rPh sb="2" eb="3">
      <t>ザイ</t>
    </rPh>
    <phoneticPr fontId="4"/>
  </si>
  <si>
    <t>消毒剤</t>
    <rPh sb="0" eb="3">
      <t>ショウドクザイ</t>
    </rPh>
    <phoneticPr fontId="4"/>
  </si>
  <si>
    <t>金属類</t>
    <rPh sb="0" eb="3">
      <t>キンゾクルイ</t>
    </rPh>
    <phoneticPr fontId="4"/>
  </si>
  <si>
    <t>無機物</t>
    <rPh sb="0" eb="3">
      <t>ムキブツ</t>
    </rPh>
    <phoneticPr fontId="4"/>
  </si>
  <si>
    <t>その他</t>
    <rPh sb="2" eb="3">
      <t>タ</t>
    </rPh>
    <phoneticPr fontId="4"/>
  </si>
  <si>
    <t>浄水</t>
    <rPh sb="0" eb="2">
      <t>ジョウスイ</t>
    </rPh>
    <phoneticPr fontId="4"/>
  </si>
  <si>
    <t>0.005
(二硫化炭素
として)</t>
    <rPh sb="7" eb="10">
      <t>ニリュウカ</t>
    </rPh>
    <rPh sb="10" eb="12">
      <t>タンソ</t>
    </rPh>
    <phoneticPr fontId="4"/>
  </si>
  <si>
    <t>曇</t>
    <rPh sb="0" eb="1">
      <t>クモリ</t>
    </rPh>
    <phoneticPr fontId="4"/>
  </si>
  <si>
    <t>&lt;0.002</t>
    <phoneticPr fontId="4"/>
  </si>
  <si>
    <t>&lt;0.3</t>
    <phoneticPr fontId="4"/>
  </si>
  <si>
    <t>検出</t>
    <rPh sb="0" eb="2">
      <t>ケンシュツ</t>
    </rPh>
    <phoneticPr fontId="4"/>
  </si>
  <si>
    <t>大腸菌数</t>
    <phoneticPr fontId="4"/>
  </si>
  <si>
    <t>&lt;0.01</t>
    <phoneticPr fontId="4"/>
  </si>
  <si>
    <t>大腸菌数</t>
    <phoneticPr fontId="4"/>
  </si>
  <si>
    <t>晴</t>
    <rPh sb="0" eb="1">
      <t>ハ</t>
    </rPh>
    <phoneticPr fontId="4"/>
  </si>
  <si>
    <t>検出</t>
    <rPh sb="0" eb="2">
      <t>ケンシュツ</t>
    </rPh>
    <phoneticPr fontId="4"/>
  </si>
  <si>
    <t>不検出</t>
    <rPh sb="0" eb="3">
      <t>フケンシュツ</t>
    </rPh>
    <phoneticPr fontId="4"/>
  </si>
  <si>
    <t>&lt;0.1</t>
    <phoneticPr fontId="4"/>
  </si>
  <si>
    <t>２</t>
    <phoneticPr fontId="4"/>
  </si>
  <si>
    <t>&lt;0.00002</t>
    <phoneticPr fontId="4"/>
  </si>
  <si>
    <t>１</t>
    <phoneticPr fontId="4"/>
  </si>
  <si>
    <t>&lt;0.00005</t>
    <phoneticPr fontId="4"/>
  </si>
  <si>
    <t>&lt;0.00005</t>
    <phoneticPr fontId="4"/>
  </si>
  <si>
    <t>２</t>
    <phoneticPr fontId="4"/>
  </si>
  <si>
    <t>雨</t>
    <rPh sb="0" eb="1">
      <t>アメ</t>
    </rPh>
    <phoneticPr fontId="4"/>
  </si>
  <si>
    <t>検出</t>
    <rPh sb="0" eb="2">
      <t>ケンシュツ</t>
    </rPh>
    <phoneticPr fontId="4"/>
  </si>
  <si>
    <t>２</t>
    <phoneticPr fontId="4"/>
  </si>
  <si>
    <t>&lt;0.1</t>
    <phoneticPr fontId="4"/>
  </si>
  <si>
    <t>曇</t>
    <rPh sb="0" eb="1">
      <t>クモ</t>
    </rPh>
    <phoneticPr fontId="4"/>
  </si>
  <si>
    <t>１</t>
  </si>
  <si>
    <t>晴</t>
    <rPh sb="0" eb="1">
      <t>ハ</t>
    </rPh>
    <phoneticPr fontId="4"/>
  </si>
  <si>
    <t>&lt;0.5</t>
    <phoneticPr fontId="4"/>
  </si>
  <si>
    <t>検出</t>
    <rPh sb="0" eb="2">
      <t>ケンシュツ</t>
    </rPh>
    <phoneticPr fontId="4"/>
  </si>
  <si>
    <t>&lt;1</t>
    <phoneticPr fontId="4"/>
  </si>
  <si>
    <t>検出</t>
    <rPh sb="0" eb="2">
      <t>ケンシュツ</t>
    </rPh>
    <phoneticPr fontId="4"/>
  </si>
  <si>
    <t>晴</t>
    <rPh sb="0" eb="1">
      <t>ハ</t>
    </rPh>
    <phoneticPr fontId="4"/>
  </si>
  <si>
    <t>-</t>
  </si>
  <si>
    <t>-</t>
    <phoneticPr fontId="4"/>
  </si>
  <si>
    <t>&lt;0.000003</t>
  </si>
  <si>
    <t>&lt;0.005</t>
    <phoneticPr fontId="4"/>
  </si>
  <si>
    <t>２</t>
    <phoneticPr fontId="4"/>
  </si>
  <si>
    <t>２</t>
    <phoneticPr fontId="4"/>
  </si>
  <si>
    <t>&lt;0.005</t>
    <phoneticPr fontId="4"/>
  </si>
  <si>
    <t>&lt;0.000001</t>
    <phoneticPr fontId="4"/>
  </si>
  <si>
    <t>２</t>
    <phoneticPr fontId="4"/>
  </si>
  <si>
    <t>検出</t>
    <rPh sb="0" eb="2">
      <t>ケンシュツ</t>
    </rPh>
    <phoneticPr fontId="4"/>
  </si>
  <si>
    <t>&lt;0.001</t>
    <phoneticPr fontId="4"/>
  </si>
  <si>
    <t>２</t>
    <phoneticPr fontId="4"/>
  </si>
  <si>
    <t>-</t>
    <phoneticPr fontId="4"/>
  </si>
  <si>
    <t>２</t>
    <phoneticPr fontId="4"/>
  </si>
  <si>
    <t>曇</t>
    <rPh sb="0" eb="1">
      <t>クモ</t>
    </rPh>
    <phoneticPr fontId="4"/>
  </si>
  <si>
    <t>２</t>
    <phoneticPr fontId="4"/>
  </si>
  <si>
    <t>曇</t>
    <rPh sb="0" eb="1">
      <t>クモ</t>
    </rPh>
    <phoneticPr fontId="4"/>
  </si>
  <si>
    <t>&lt;0.1</t>
    <phoneticPr fontId="4"/>
  </si>
  <si>
    <t>１及び２</t>
    <phoneticPr fontId="4"/>
  </si>
  <si>
    <t>晴</t>
    <rPh sb="0" eb="1">
      <t>ハ</t>
    </rPh>
    <phoneticPr fontId="4"/>
  </si>
  <si>
    <t>雪</t>
    <rPh sb="0" eb="1">
      <t>ユキ</t>
    </rPh>
    <phoneticPr fontId="4"/>
  </si>
  <si>
    <t>検出</t>
    <rPh sb="0" eb="2">
      <t>ケンシュツ</t>
    </rPh>
    <phoneticPr fontId="4"/>
  </si>
  <si>
    <t>不検出</t>
    <phoneticPr fontId="4"/>
  </si>
  <si>
    <t>２</t>
    <phoneticPr fontId="4"/>
  </si>
  <si>
    <t>&lt;0.001</t>
    <phoneticPr fontId="4"/>
  </si>
  <si>
    <t>&lt;0.3</t>
    <phoneticPr fontId="4"/>
  </si>
  <si>
    <t>&lt;0.1</t>
    <phoneticPr fontId="4"/>
  </si>
  <si>
    <t>&lt;0.003</t>
    <phoneticPr fontId="4"/>
  </si>
  <si>
    <t>&lt;0.004</t>
    <phoneticPr fontId="4"/>
  </si>
  <si>
    <t>&lt;0.001</t>
    <phoneticPr fontId="4"/>
  </si>
  <si>
    <t>&lt;0.3</t>
    <phoneticPr fontId="4"/>
  </si>
  <si>
    <t>&lt;0.001</t>
    <phoneticPr fontId="4"/>
  </si>
  <si>
    <t>２</t>
    <phoneticPr fontId="4"/>
  </si>
  <si>
    <t>異常なし</t>
    <rPh sb="0" eb="2">
      <t>イジョウ</t>
    </rPh>
    <phoneticPr fontId="4"/>
  </si>
  <si>
    <t>定　期　水　質　検　査　結　果（令和5年度）</t>
    <phoneticPr fontId="4"/>
  </si>
  <si>
    <t>&lt;0.1</t>
    <phoneticPr fontId="4"/>
  </si>
  <si>
    <t>&lt;0.5</t>
    <phoneticPr fontId="4"/>
  </si>
  <si>
    <t>テフリルトリオン</t>
    <phoneticPr fontId="4"/>
  </si>
  <si>
    <t>テルブカルブ（ＭＢＰＭＣ）</t>
    <phoneticPr fontId="4"/>
  </si>
  <si>
    <t>&lt;0.00006</t>
    <phoneticPr fontId="4"/>
  </si>
  <si>
    <t>&lt;0.00002</t>
    <phoneticPr fontId="4"/>
  </si>
  <si>
    <t>&lt;0.0002</t>
    <phoneticPr fontId="4"/>
  </si>
  <si>
    <t>&lt;0.001</t>
    <phoneticPr fontId="4"/>
  </si>
  <si>
    <t>晴</t>
    <rPh sb="0" eb="1">
      <t>ハレ</t>
    </rPh>
    <phoneticPr fontId="4"/>
  </si>
  <si>
    <t>&lt;0.000001</t>
    <phoneticPr fontId="4"/>
  </si>
  <si>
    <t>&lt;0.001</t>
    <phoneticPr fontId="4"/>
  </si>
  <si>
    <t>&lt;0.1</t>
    <phoneticPr fontId="4"/>
  </si>
  <si>
    <t>&lt;0.1</t>
    <phoneticPr fontId="4"/>
  </si>
  <si>
    <t>&lt;0.001</t>
    <phoneticPr fontId="4"/>
  </si>
  <si>
    <t>&lt;0.1</t>
    <phoneticPr fontId="4"/>
  </si>
  <si>
    <t>雲</t>
    <rPh sb="0" eb="1">
      <t>クモ</t>
    </rPh>
    <phoneticPr fontId="4"/>
  </si>
  <si>
    <t>曇</t>
    <phoneticPr fontId="4"/>
  </si>
  <si>
    <t>&lt;0.06</t>
    <phoneticPr fontId="4"/>
  </si>
  <si>
    <t>&lt;0.1</t>
    <phoneticPr fontId="4"/>
  </si>
  <si>
    <t>&lt;1</t>
    <phoneticPr fontId="4"/>
  </si>
  <si>
    <t>&lt;0.06</t>
    <phoneticPr fontId="4"/>
  </si>
  <si>
    <t>&lt;0.001</t>
    <phoneticPr fontId="4"/>
  </si>
  <si>
    <t>&lt;1</t>
    <phoneticPr fontId="4"/>
  </si>
  <si>
    <t>微沼沢臭</t>
    <rPh sb="0" eb="1">
      <t>ビ</t>
    </rPh>
    <rPh sb="1" eb="3">
      <t>ヌマサワ</t>
    </rPh>
    <rPh sb="3" eb="4">
      <t>シュウ</t>
    </rPh>
    <phoneticPr fontId="4"/>
  </si>
  <si>
    <t>&lt;0.06</t>
    <phoneticPr fontId="4"/>
  </si>
  <si>
    <t>検出</t>
  </si>
  <si>
    <t>微土臭</t>
    <phoneticPr fontId="4"/>
  </si>
  <si>
    <t>&lt;0.1</t>
    <phoneticPr fontId="4"/>
  </si>
  <si>
    <t>検出</t>
    <rPh sb="0" eb="2">
      <t>ケンシュツ</t>
    </rPh>
    <phoneticPr fontId="7"/>
  </si>
  <si>
    <t>－</t>
  </si>
  <si>
    <t>微土臭</t>
    <rPh sb="0" eb="1">
      <t>カス</t>
    </rPh>
    <rPh sb="1" eb="2">
      <t>ツチ</t>
    </rPh>
    <rPh sb="2" eb="3">
      <t>シュウ</t>
    </rPh>
    <phoneticPr fontId="7"/>
  </si>
  <si>
    <t>不検出</t>
    <rPh sb="0" eb="1">
      <t>フ</t>
    </rPh>
    <rPh sb="1" eb="3">
      <t>ケンシュツ</t>
    </rPh>
    <phoneticPr fontId="7"/>
  </si>
  <si>
    <t>異常なし</t>
    <rPh sb="0" eb="2">
      <t>イジョウ</t>
    </rPh>
    <phoneticPr fontId="7"/>
  </si>
  <si>
    <t>２</t>
    <phoneticPr fontId="4"/>
  </si>
  <si>
    <t>曇</t>
    <rPh sb="0" eb="1">
      <t>クモリ</t>
    </rPh>
    <phoneticPr fontId="4"/>
  </si>
  <si>
    <t>&lt;1.8</t>
    <phoneticPr fontId="4"/>
  </si>
  <si>
    <t>&lt;0.003</t>
    <phoneticPr fontId="4"/>
  </si>
  <si>
    <t>&lt;0.004</t>
    <phoneticPr fontId="4"/>
  </si>
  <si>
    <t>&lt;0.001</t>
    <phoneticPr fontId="4"/>
  </si>
  <si>
    <t>&lt;0.3</t>
    <phoneticPr fontId="4"/>
  </si>
  <si>
    <t>&lt;0.001</t>
    <phoneticPr fontId="4"/>
  </si>
  <si>
    <t>&lt;0.003</t>
    <phoneticPr fontId="4"/>
  </si>
  <si>
    <t>&lt;0.004</t>
    <phoneticPr fontId="4"/>
  </si>
  <si>
    <t>定　期　水　質　検　査　結　果（令和５年度）</t>
    <rPh sb="0" eb="1">
      <t>サダム</t>
    </rPh>
    <rPh sb="2" eb="3">
      <t>キ</t>
    </rPh>
    <rPh sb="4" eb="5">
      <t>ミズ</t>
    </rPh>
    <rPh sb="6" eb="7">
      <t>シツ</t>
    </rPh>
    <rPh sb="8" eb="9">
      <t>ケン</t>
    </rPh>
    <rPh sb="10" eb="11">
      <t>サ</t>
    </rPh>
    <rPh sb="12" eb="13">
      <t>ムスブ</t>
    </rPh>
    <rPh sb="14" eb="15">
      <t>ハタシ</t>
    </rPh>
    <rPh sb="19" eb="21">
      <t>ネンド</t>
    </rPh>
    <phoneticPr fontId="4"/>
  </si>
  <si>
    <t>令和５年度　庄内広域水道（北部）　定期水質検査実施計画</t>
    <rPh sb="0" eb="1">
      <t>レイ</t>
    </rPh>
    <rPh sb="1" eb="2">
      <t>ワ</t>
    </rPh>
    <rPh sb="3" eb="5">
      <t>ネンド</t>
    </rPh>
    <rPh sb="6" eb="8">
      <t>ショウナイ</t>
    </rPh>
    <rPh sb="8" eb="10">
      <t>コウイキ</t>
    </rPh>
    <rPh sb="10" eb="12">
      <t>スイドウ</t>
    </rPh>
    <rPh sb="13" eb="15">
      <t>ホクブ</t>
    </rPh>
    <rPh sb="17" eb="19">
      <t>テイキ</t>
    </rPh>
    <rPh sb="19" eb="21">
      <t>スイシツ</t>
    </rPh>
    <rPh sb="21" eb="23">
      <t>ケンサ</t>
    </rPh>
    <rPh sb="23" eb="25">
      <t>ジッシ</t>
    </rPh>
    <rPh sb="25" eb="27">
      <t>ケイカク</t>
    </rPh>
    <phoneticPr fontId="5"/>
  </si>
  <si>
    <t>区分</t>
    <rPh sb="0" eb="2">
      <t>クブン</t>
    </rPh>
    <phoneticPr fontId="5"/>
  </si>
  <si>
    <t>採水場所等</t>
    <rPh sb="0" eb="2">
      <t>サイスイ</t>
    </rPh>
    <rPh sb="2" eb="4">
      <t>バショ</t>
    </rPh>
    <rPh sb="4" eb="5">
      <t>トウ</t>
    </rPh>
    <phoneticPr fontId="5"/>
  </si>
  <si>
    <t>項目</t>
    <rPh sb="0" eb="2">
      <t>コウモク</t>
    </rPh>
    <phoneticPr fontId="5"/>
  </si>
  <si>
    <t>４月</t>
  </si>
  <si>
    <t>５月</t>
  </si>
  <si>
    <t>６月</t>
  </si>
  <si>
    <t>７月</t>
  </si>
  <si>
    <t>８月</t>
  </si>
  <si>
    <t>９月</t>
  </si>
  <si>
    <t>10月</t>
    <phoneticPr fontId="5"/>
  </si>
  <si>
    <t>11月</t>
    <phoneticPr fontId="5"/>
  </si>
  <si>
    <t>12月</t>
    <phoneticPr fontId="5"/>
  </si>
  <si>
    <t>１月</t>
  </si>
  <si>
    <t>２月</t>
  </si>
  <si>
    <t>３月</t>
  </si>
  <si>
    <t>水質</t>
    <rPh sb="0" eb="2">
      <t>スイシツ</t>
    </rPh>
    <phoneticPr fontId="5"/>
  </si>
  <si>
    <t>環境</t>
    <rPh sb="0" eb="2">
      <t>カンキョウ</t>
    </rPh>
    <phoneticPr fontId="5"/>
  </si>
  <si>
    <t>田沢川ダム</t>
    <rPh sb="0" eb="2">
      <t>タザワ</t>
    </rPh>
    <rPh sb="2" eb="3">
      <t>ガワ</t>
    </rPh>
    <phoneticPr fontId="5"/>
  </si>
  <si>
    <t>ダム水（表層）</t>
    <rPh sb="4" eb="6">
      <t>ヒョウソウ</t>
    </rPh>
    <phoneticPr fontId="5"/>
  </si>
  <si>
    <t>●</t>
  </si>
  <si>
    <t>ダム水(中・底層)</t>
    <rPh sb="4" eb="5">
      <t>チュウ</t>
    </rPh>
    <rPh sb="6" eb="7">
      <t>テイ</t>
    </rPh>
    <rPh sb="7" eb="8">
      <t>ソウ</t>
    </rPh>
    <phoneticPr fontId="5"/>
  </si>
  <si>
    <t>●×3</t>
  </si>
  <si>
    <t>※１</t>
  </si>
  <si>
    <t>田沢川</t>
    <rPh sb="0" eb="2">
      <t>タザワ</t>
    </rPh>
    <rPh sb="2" eb="3">
      <t>ガワ</t>
    </rPh>
    <phoneticPr fontId="32"/>
  </si>
  <si>
    <t>河川水</t>
    <phoneticPr fontId="32"/>
  </si>
  <si>
    <t>原水</t>
    <rPh sb="0" eb="2">
      <t>ゲンスイ</t>
    </rPh>
    <phoneticPr fontId="5"/>
  </si>
  <si>
    <t>原水SP栓</t>
    <rPh sb="0" eb="2">
      <t>ゲンスイ</t>
    </rPh>
    <rPh sb="4" eb="5">
      <t>セン</t>
    </rPh>
    <phoneticPr fontId="5"/>
  </si>
  <si>
    <t>水質基準項目（原水39項目）</t>
    <rPh sb="0" eb="2">
      <t>スイシツ</t>
    </rPh>
    <rPh sb="4" eb="6">
      <t>コウモク</t>
    </rPh>
    <rPh sb="7" eb="9">
      <t>ゲンスイ</t>
    </rPh>
    <rPh sb="11" eb="13">
      <t>コウモク</t>
    </rPh>
    <phoneticPr fontId="5"/>
  </si>
  <si>
    <t>水質基準項目
（省略不可11項目）</t>
    <rPh sb="0" eb="2">
      <t>スイシツ</t>
    </rPh>
    <rPh sb="4" eb="6">
      <t>コウモク</t>
    </rPh>
    <rPh sb="8" eb="10">
      <t>ショウリャク</t>
    </rPh>
    <rPh sb="10" eb="12">
      <t>フカ</t>
    </rPh>
    <rPh sb="14" eb="16">
      <t>コウモク</t>
    </rPh>
    <phoneticPr fontId="5"/>
  </si>
  <si>
    <t>●</t>
    <phoneticPr fontId="5"/>
  </si>
  <si>
    <t>水質基準項目(臭気物質)</t>
    <rPh sb="0" eb="2">
      <t>スイシツ</t>
    </rPh>
    <rPh sb="2" eb="4">
      <t>キジュン</t>
    </rPh>
    <rPh sb="4" eb="6">
      <t>コウモク</t>
    </rPh>
    <rPh sb="7" eb="9">
      <t>シュウキ</t>
    </rPh>
    <rPh sb="9" eb="11">
      <t>ブッシツ</t>
    </rPh>
    <phoneticPr fontId="5"/>
  </si>
  <si>
    <t>水質管理目標設定項目（原水）</t>
    <rPh sb="0" eb="2">
      <t>スイシツ</t>
    </rPh>
    <rPh sb="2" eb="4">
      <t>カンリ</t>
    </rPh>
    <rPh sb="4" eb="6">
      <t>モクヒョウ</t>
    </rPh>
    <rPh sb="6" eb="8">
      <t>セッテイ</t>
    </rPh>
    <rPh sb="8" eb="10">
      <t>コウモク</t>
    </rPh>
    <rPh sb="11" eb="13">
      <t>ゲンスイ</t>
    </rPh>
    <phoneticPr fontId="5"/>
  </si>
  <si>
    <t>水質管理目標設定項目（農薬類）</t>
    <rPh sb="0" eb="2">
      <t>スイシツ</t>
    </rPh>
    <rPh sb="2" eb="4">
      <t>カンリ</t>
    </rPh>
    <rPh sb="4" eb="6">
      <t>モクヒョウ</t>
    </rPh>
    <rPh sb="6" eb="8">
      <t>セッテイ</t>
    </rPh>
    <rPh sb="8" eb="10">
      <t>コウモク</t>
    </rPh>
    <rPh sb="11" eb="13">
      <t>ノウヤク</t>
    </rPh>
    <rPh sb="13" eb="14">
      <t>ルイ</t>
    </rPh>
    <phoneticPr fontId="5"/>
  </si>
  <si>
    <t>クリプト・ジアルジア</t>
    <phoneticPr fontId="5"/>
  </si>
  <si>
    <t>クリプト等指標菌</t>
    <rPh sb="4" eb="5">
      <t>トウ</t>
    </rPh>
    <rPh sb="5" eb="8">
      <t>シヒョウキン</t>
    </rPh>
    <phoneticPr fontId="5"/>
  </si>
  <si>
    <t>●</t>
    <phoneticPr fontId="32"/>
  </si>
  <si>
    <t>原水（水源監視項目）</t>
    <rPh sb="0" eb="2">
      <t>ゲンスイ</t>
    </rPh>
    <rPh sb="3" eb="5">
      <t>スイゲン</t>
    </rPh>
    <rPh sb="5" eb="7">
      <t>カンシ</t>
    </rPh>
    <rPh sb="7" eb="9">
      <t>コウモク</t>
    </rPh>
    <phoneticPr fontId="5"/>
  </si>
  <si>
    <t>THM生成能</t>
  </si>
  <si>
    <t>処理工程</t>
    <rPh sb="0" eb="2">
      <t>ショリ</t>
    </rPh>
    <rPh sb="2" eb="4">
      <t>コウテイ</t>
    </rPh>
    <phoneticPr fontId="5"/>
  </si>
  <si>
    <t>沈殿水</t>
    <phoneticPr fontId="5"/>
  </si>
  <si>
    <t>水質基準項目
（消毒副生成物11項目）</t>
    <rPh sb="8" eb="10">
      <t>ショウドク</t>
    </rPh>
    <rPh sb="10" eb="11">
      <t>フク</t>
    </rPh>
    <rPh sb="11" eb="14">
      <t>セイセイブツ</t>
    </rPh>
    <rPh sb="16" eb="18">
      <t>コウモク</t>
    </rPh>
    <phoneticPr fontId="5"/>
  </si>
  <si>
    <t>水質基準項目（工程水特定金属）</t>
    <rPh sb="7" eb="9">
      <t>コウテイ</t>
    </rPh>
    <rPh sb="9" eb="10">
      <t>スイ</t>
    </rPh>
    <rPh sb="10" eb="12">
      <t>トクテイ</t>
    </rPh>
    <rPh sb="12" eb="14">
      <t>キンゾク</t>
    </rPh>
    <phoneticPr fontId="5"/>
  </si>
  <si>
    <t>水質基準項目（有機物質、色度、濁度）</t>
    <rPh sb="7" eb="9">
      <t>ユウキ</t>
    </rPh>
    <rPh sb="9" eb="11">
      <t>ブッシツ</t>
    </rPh>
    <rPh sb="12" eb="14">
      <t>シキド</t>
    </rPh>
    <rPh sb="15" eb="17">
      <t>ダクド</t>
    </rPh>
    <phoneticPr fontId="5"/>
  </si>
  <si>
    <t>ろ過水</t>
    <phoneticPr fontId="5"/>
  </si>
  <si>
    <t>浄水池</t>
    <rPh sb="0" eb="3">
      <t>ジョウスイチ</t>
    </rPh>
    <phoneticPr fontId="5"/>
  </si>
  <si>
    <t>浄水池出口</t>
    <rPh sb="2" eb="3">
      <t>チ</t>
    </rPh>
    <rPh sb="3" eb="5">
      <t>デグチ</t>
    </rPh>
    <phoneticPr fontId="5"/>
  </si>
  <si>
    <t>水質基準項目（全51項目）</t>
    <rPh sb="7" eb="8">
      <t>ゼン</t>
    </rPh>
    <rPh sb="10" eb="12">
      <t>コウモク</t>
    </rPh>
    <phoneticPr fontId="5"/>
  </si>
  <si>
    <t>水質基準項目（省略不可23項目）</t>
    <rPh sb="7" eb="9">
      <t>ショウリャク</t>
    </rPh>
    <rPh sb="9" eb="11">
      <t>フカ</t>
    </rPh>
    <rPh sb="13" eb="15">
      <t>コウモク</t>
    </rPh>
    <phoneticPr fontId="5"/>
  </si>
  <si>
    <t>水質管理目標設定項目（浄水）</t>
    <rPh sb="11" eb="13">
      <t>ジョウスイ</t>
    </rPh>
    <phoneticPr fontId="5"/>
  </si>
  <si>
    <t>量水所</t>
    <rPh sb="0" eb="3">
      <t>リョウスイジョ</t>
    </rPh>
    <phoneticPr fontId="5"/>
  </si>
  <si>
    <t>松山量水所</t>
    <rPh sb="0" eb="2">
      <t>マツヤマ</t>
    </rPh>
    <rPh sb="2" eb="4">
      <t>リョウスイ</t>
    </rPh>
    <rPh sb="4" eb="5">
      <t>ジョ</t>
    </rPh>
    <phoneticPr fontId="5"/>
  </si>
  <si>
    <t>水質管理目標設定項目（快適･優先）</t>
    <rPh sb="11" eb="13">
      <t>カイテキ</t>
    </rPh>
    <rPh sb="14" eb="16">
      <t>ユウセン</t>
    </rPh>
    <phoneticPr fontId="5"/>
  </si>
  <si>
    <t>酒田量水所</t>
    <rPh sb="0" eb="2">
      <t>サカタ</t>
    </rPh>
    <rPh sb="2" eb="4">
      <t>リョウスイ</t>
    </rPh>
    <rPh sb="4" eb="5">
      <t>ジョ</t>
    </rPh>
    <phoneticPr fontId="5"/>
  </si>
  <si>
    <t>水質基準項目（省略不可13項目）</t>
    <rPh sb="7" eb="9">
      <t>ショウリャク</t>
    </rPh>
    <rPh sb="9" eb="11">
      <t>フカ</t>
    </rPh>
    <rPh sb="13" eb="15">
      <t>コウモク</t>
    </rPh>
    <phoneticPr fontId="5"/>
  </si>
  <si>
    <t>平田第二量水所</t>
    <rPh sb="0" eb="2">
      <t>ヒラタ</t>
    </rPh>
    <rPh sb="2" eb="4">
      <t>ダイニ</t>
    </rPh>
    <rPh sb="4" eb="6">
      <t>リョウスイ</t>
    </rPh>
    <rPh sb="6" eb="7">
      <t>ジョ</t>
    </rPh>
    <phoneticPr fontId="32"/>
  </si>
  <si>
    <t>排水</t>
    <rPh sb="0" eb="2">
      <t>ハイスイ</t>
    </rPh>
    <phoneticPr fontId="5"/>
  </si>
  <si>
    <t>排出水</t>
  </si>
  <si>
    <t>排水基準</t>
  </si>
  <si>
    <t>汚泥</t>
    <rPh sb="0" eb="2">
      <t>オデイ</t>
    </rPh>
    <phoneticPr fontId="5"/>
  </si>
  <si>
    <t>天日乾燥床</t>
  </si>
  <si>
    <t>環境基準等(汚泥)</t>
    <rPh sb="4" eb="5">
      <t>トウ</t>
    </rPh>
    <rPh sb="6" eb="8">
      <t>オデイ</t>
    </rPh>
    <phoneticPr fontId="5"/>
  </si>
  <si>
    <t>（参考）</t>
    <rPh sb="1" eb="3">
      <t>サンコウ</t>
    </rPh>
    <phoneticPr fontId="5"/>
  </si>
  <si>
    <t>検体数</t>
    <rPh sb="0" eb="2">
      <t>ケンタイ</t>
    </rPh>
    <rPh sb="2" eb="3">
      <t>スウ</t>
    </rPh>
    <phoneticPr fontId="5"/>
  </si>
  <si>
    <t>採水箇所数(基本分)</t>
    <rPh sb="0" eb="2">
      <t>サイスイ</t>
    </rPh>
    <rPh sb="2" eb="4">
      <t>カショ</t>
    </rPh>
    <rPh sb="4" eb="5">
      <t>スウ</t>
    </rPh>
    <rPh sb="6" eb="8">
      <t>キホン</t>
    </rPh>
    <rPh sb="8" eb="9">
      <t>ブン</t>
    </rPh>
    <phoneticPr fontId="5"/>
  </si>
  <si>
    <t>追加採水数</t>
    <rPh sb="0" eb="2">
      <t>ツイカ</t>
    </rPh>
    <rPh sb="2" eb="4">
      <t>サイスイ</t>
    </rPh>
    <rPh sb="4" eb="5">
      <t>スウ</t>
    </rPh>
    <phoneticPr fontId="5"/>
  </si>
  <si>
    <t>(注)</t>
    <rPh sb="1" eb="2">
      <t>チュウ</t>
    </rPh>
    <phoneticPr fontId="5"/>
  </si>
  <si>
    <t>※1：７月分ダム水：</t>
    <rPh sb="4" eb="5">
      <t>ガツ</t>
    </rPh>
    <rPh sb="5" eb="6">
      <t>ブン</t>
    </rPh>
    <rPh sb="8" eb="9">
      <t>スイ</t>
    </rPh>
    <phoneticPr fontId="5"/>
  </si>
  <si>
    <t>表層、中層(-10m)、中層(-20m)、底層(-30m)の４箇所の検査を実施</t>
    <rPh sb="0" eb="2">
      <t>ヒョウソウ</t>
    </rPh>
    <rPh sb="3" eb="5">
      <t>チュウソウ</t>
    </rPh>
    <rPh sb="12" eb="14">
      <t>チュウソウ</t>
    </rPh>
    <rPh sb="21" eb="22">
      <t>ソコ</t>
    </rPh>
    <rPh sb="22" eb="23">
      <t>ソウ</t>
    </rPh>
    <rPh sb="31" eb="33">
      <t>カショ</t>
    </rPh>
    <rPh sb="34" eb="36">
      <t>ケンサ</t>
    </rPh>
    <rPh sb="37" eb="39">
      <t>ジッシ</t>
    </rPh>
    <phoneticPr fontId="5"/>
  </si>
  <si>
    <t>定　期　水　質　検　査　結　果（令和５年度）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</si>
</sst>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176" formatCode="0.0_ "/>
    <numFmt numFmtId="177" formatCode="0.000_);[Red]\(0.000\)"/>
    <numFmt numFmtId="178" formatCode="0.000_ "/>
    <numFmt numFmtId="179" formatCode="0.0_);[Red]\(0.0\)"/>
    <numFmt numFmtId="180" formatCode="0_ "/>
    <numFmt numFmtId="181" formatCode="0.00_ "/>
    <numFmt numFmtId="182" formatCode="0.0"/>
    <numFmt numFmtId="183" formatCode="0.000"/>
    <numFmt numFmtId="184" formatCode="0.00000"/>
    <numFmt numFmtId="185" formatCode="0.0000"/>
    <numFmt numFmtId="186" formatCode="0.000000_ "/>
    <numFmt numFmtId="187" formatCode="0.0\ "/>
    <numFmt numFmtId="188" formatCode="m&quot;月&quot;d&quot;日&quot;;@"/>
    <numFmt numFmtId="189" formatCode="h:mm;@"/>
    <numFmt numFmtId="190" formatCode="0.00\ "/>
    <numFmt numFmtId="192" formatCode="0.000000"/>
    <numFmt numFmtId="193" formatCode="#,##0.0;[Red]\-#,##0.0"/>
    <numFmt numFmtId="194" formatCode="0;_瀀"/>
    <numFmt numFmtId="195" formatCode="0;_"/>
    <numFmt numFmtId="196" formatCode="0.0;_"/>
    <numFmt numFmtId="197" formatCode="0.00;_"/>
    <numFmt numFmtId="198" formatCode="0.000;_"/>
    <numFmt numFmtId="199" formatCode="0.00_);[Red]\(0.00\)"/>
  </numFmts>
  <fonts count="35" x14ac:knownFonts="1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8"/>
      <color indexed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ゴシック"/>
      <family val="3"/>
      <charset val="128"/>
    </font>
    <font>
      <sz val="16"/>
      <name val="ＭＳ 明朝"/>
      <family val="1"/>
      <charset val="128"/>
    </font>
    <font>
      <b/>
      <sz val="9"/>
      <color indexed="10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b/>
      <sz val="8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8"/>
      <color theme="0"/>
      <name val="ＭＳ 明朝"/>
      <family val="1"/>
      <charset val="128"/>
    </font>
    <font>
      <sz val="14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7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hair">
        <color indexed="64"/>
      </diagonal>
    </border>
    <border diagonalUp="1"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double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double">
        <color indexed="64"/>
      </right>
      <top/>
      <bottom style="thin">
        <color indexed="64"/>
      </bottom>
      <diagonal style="hair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uble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 diagonalUp="1">
      <left style="double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uble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double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</borders>
  <cellStyleXfs count="8">
    <xf numFmtId="0" fontId="0" fillId="0" borderId="0"/>
    <xf numFmtId="38" fontId="3" fillId="0" borderId="0" applyFont="0" applyFill="0" applyBorder="0" applyAlignment="0" applyProtection="0"/>
    <xf numFmtId="0" fontId="21" fillId="0" borderId="0"/>
    <xf numFmtId="0" fontId="27" fillId="0" borderId="0"/>
    <xf numFmtId="9" fontId="2" fillId="0" borderId="0" applyFont="0" applyFill="0" applyBorder="0" applyAlignment="0" applyProtection="0">
      <alignment vertical="center"/>
    </xf>
    <xf numFmtId="0" fontId="21" fillId="0" borderId="0"/>
    <xf numFmtId="0" fontId="1" fillId="0" borderId="0">
      <alignment vertical="center"/>
    </xf>
    <xf numFmtId="0" fontId="21" fillId="0" borderId="0"/>
  </cellStyleXfs>
  <cellXfs count="867">
    <xf numFmtId="0" fontId="0" fillId="0" borderId="0" xfId="0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176" fontId="8" fillId="0" borderId="0" xfId="0" applyNumberFormat="1" applyFont="1" applyAlignment="1">
      <alignment vertical="center"/>
    </xf>
    <xf numFmtId="0" fontId="8" fillId="0" borderId="1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11" fillId="0" borderId="3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8" xfId="0" quotePrefix="1" applyFont="1" applyBorder="1" applyAlignment="1">
      <alignment horizontal="right" vertical="center"/>
    </xf>
    <xf numFmtId="0" fontId="8" fillId="0" borderId="1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1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10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8" fillId="0" borderId="25" xfId="0" applyFont="1" applyBorder="1" applyAlignment="1">
      <alignment vertical="center"/>
    </xf>
    <xf numFmtId="0" fontId="8" fillId="0" borderId="2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2" fontId="7" fillId="0" borderId="28" xfId="0" applyNumberFormat="1" applyFont="1" applyBorder="1" applyAlignment="1">
      <alignment horizontal="center" vertical="center"/>
    </xf>
    <xf numFmtId="2" fontId="7" fillId="0" borderId="29" xfId="0" applyNumberFormat="1" applyFont="1" applyBorder="1" applyAlignment="1">
      <alignment horizontal="center" vertical="center"/>
    </xf>
    <xf numFmtId="2" fontId="7" fillId="0" borderId="29" xfId="0" applyNumberFormat="1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39" xfId="0" applyFont="1" applyBorder="1" applyAlignment="1">
      <alignment horizontal="right" vertical="center"/>
    </xf>
    <xf numFmtId="0" fontId="11" fillId="0" borderId="3" xfId="0" applyFont="1" applyBorder="1" applyAlignment="1">
      <alignment horizontal="left" vertical="center" wrapText="1"/>
    </xf>
    <xf numFmtId="0" fontId="8" fillId="0" borderId="4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182" fontId="8" fillId="0" borderId="43" xfId="0" applyNumberFormat="1" applyFont="1" applyBorder="1" applyAlignment="1">
      <alignment horizontal="center" vertical="center"/>
    </xf>
    <xf numFmtId="182" fontId="8" fillId="0" borderId="44" xfId="0" applyNumberFormat="1" applyFont="1" applyBorder="1" applyAlignment="1">
      <alignment horizontal="center" vertical="center"/>
    </xf>
    <xf numFmtId="182" fontId="8" fillId="0" borderId="45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182" fontId="13" fillId="0" borderId="49" xfId="0" applyNumberFormat="1" applyFont="1" applyBorder="1" applyAlignment="1">
      <alignment horizontal="right" vertical="center"/>
    </xf>
    <xf numFmtId="182" fontId="13" fillId="0" borderId="50" xfId="0" applyNumberFormat="1" applyFont="1" applyBorder="1" applyAlignment="1">
      <alignment horizontal="right" vertical="center"/>
    </xf>
    <xf numFmtId="182" fontId="13" fillId="0" borderId="51" xfId="0" applyNumberFormat="1" applyFont="1" applyBorder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182" fontId="8" fillId="0" borderId="41" xfId="0" applyNumberFormat="1" applyFont="1" applyBorder="1" applyAlignment="1">
      <alignment horizontal="center" vertical="center"/>
    </xf>
    <xf numFmtId="182" fontId="14" fillId="0" borderId="49" xfId="0" applyNumberFormat="1" applyFont="1" applyBorder="1" applyAlignment="1">
      <alignment horizontal="right" vertical="center"/>
    </xf>
    <xf numFmtId="0" fontId="8" fillId="0" borderId="54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0" fontId="13" fillId="0" borderId="23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0" fontId="13" fillId="0" borderId="25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3" fillId="0" borderId="11" xfId="0" applyFont="1" applyBorder="1" applyAlignment="1">
      <alignment horizontal="center" vertical="center"/>
    </xf>
    <xf numFmtId="176" fontId="13" fillId="0" borderId="0" xfId="0" applyNumberFormat="1" applyFont="1" applyAlignment="1">
      <alignment vertical="center"/>
    </xf>
    <xf numFmtId="176" fontId="8" fillId="0" borderId="55" xfId="0" applyNumberFormat="1" applyFont="1" applyBorder="1" applyAlignment="1">
      <alignment vertical="center"/>
    </xf>
    <xf numFmtId="176" fontId="8" fillId="0" borderId="0" xfId="0" applyNumberFormat="1" applyFont="1" applyAlignment="1">
      <alignment horizontal="right" vertical="center"/>
    </xf>
    <xf numFmtId="0" fontId="8" fillId="0" borderId="70" xfId="0" applyFont="1" applyBorder="1" applyAlignment="1">
      <alignment horizontal="center" vertical="center"/>
    </xf>
    <xf numFmtId="1" fontId="7" fillId="0" borderId="0" xfId="0" applyNumberFormat="1" applyFont="1" applyAlignment="1">
      <alignment vertical="center"/>
    </xf>
    <xf numFmtId="1" fontId="18" fillId="0" borderId="0" xfId="0" applyNumberFormat="1" applyFont="1" applyAlignment="1">
      <alignment vertical="center"/>
    </xf>
    <xf numFmtId="187" fontId="8" fillId="0" borderId="41" xfId="0" applyNumberFormat="1" applyFont="1" applyBorder="1" applyAlignment="1">
      <alignment horizontal="center" vertical="center"/>
    </xf>
    <xf numFmtId="0" fontId="11" fillId="0" borderId="57" xfId="0" applyFont="1" applyBorder="1" applyAlignment="1">
      <alignment horizontal="left" vertical="center" wrapText="1"/>
    </xf>
    <xf numFmtId="0" fontId="8" fillId="0" borderId="26" xfId="0" applyFont="1" applyBorder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06" xfId="0" applyFont="1" applyBorder="1" applyAlignment="1">
      <alignment vertical="center"/>
    </xf>
    <xf numFmtId="176" fontId="13" fillId="0" borderId="55" xfId="0" applyNumberFormat="1" applyFont="1" applyBorder="1" applyAlignment="1">
      <alignment vertical="center"/>
    </xf>
    <xf numFmtId="176" fontId="13" fillId="0" borderId="0" xfId="0" applyNumberFormat="1" applyFont="1" applyAlignment="1">
      <alignment horizontal="center" vertical="center"/>
    </xf>
    <xf numFmtId="176" fontId="8" fillId="0" borderId="0" xfId="0" quotePrefix="1" applyNumberFormat="1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22" fillId="0" borderId="0" xfId="2" applyFont="1" applyAlignment="1">
      <alignment vertical="center"/>
    </xf>
    <xf numFmtId="0" fontId="16" fillId="0" borderId="0" xfId="0" applyFont="1" applyAlignment="1">
      <alignment horizontal="center" vertical="center" wrapText="1"/>
    </xf>
    <xf numFmtId="177" fontId="8" fillId="0" borderId="0" xfId="0" applyNumberFormat="1" applyFont="1" applyAlignment="1">
      <alignment horizontal="right" vertical="center"/>
    </xf>
    <xf numFmtId="0" fontId="25" fillId="0" borderId="120" xfId="0" applyFont="1" applyBorder="1" applyAlignment="1">
      <alignment horizontal="right" vertical="center"/>
    </xf>
    <xf numFmtId="0" fontId="8" fillId="0" borderId="89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94" xfId="0" applyFont="1" applyBorder="1" applyAlignment="1">
      <alignment vertical="center"/>
    </xf>
    <xf numFmtId="0" fontId="23" fillId="0" borderId="3" xfId="2" applyFont="1" applyBorder="1" applyAlignment="1">
      <alignment horizontal="center" vertical="center"/>
    </xf>
    <xf numFmtId="0" fontId="22" fillId="0" borderId="41" xfId="2" applyFont="1" applyBorder="1" applyAlignment="1">
      <alignment horizontal="center" vertical="center"/>
    </xf>
    <xf numFmtId="0" fontId="8" fillId="0" borderId="59" xfId="0" applyFont="1" applyBorder="1" applyAlignment="1">
      <alignment vertical="center"/>
    </xf>
    <xf numFmtId="0" fontId="22" fillId="0" borderId="36" xfId="2" applyFont="1" applyBorder="1" applyAlignment="1">
      <alignment vertical="center"/>
    </xf>
    <xf numFmtId="0" fontId="23" fillId="0" borderId="1" xfId="2" applyFont="1" applyBorder="1" applyAlignment="1">
      <alignment horizontal="center" vertical="center"/>
    </xf>
    <xf numFmtId="0" fontId="22" fillId="0" borderId="54" xfId="2" applyFont="1" applyBorder="1" applyAlignment="1">
      <alignment horizontal="center" vertical="center"/>
    </xf>
    <xf numFmtId="0" fontId="8" fillId="0" borderId="97" xfId="0" applyFont="1" applyBorder="1" applyAlignment="1">
      <alignment vertical="center"/>
    </xf>
    <xf numFmtId="0" fontId="22" fillId="0" borderId="27" xfId="2" applyFont="1" applyBorder="1" applyAlignment="1">
      <alignment vertical="center"/>
    </xf>
    <xf numFmtId="0" fontId="22" fillId="0" borderId="3" xfId="2" applyFont="1" applyBorder="1" applyAlignment="1">
      <alignment horizontal="center" vertical="center"/>
    </xf>
    <xf numFmtId="0" fontId="22" fillId="0" borderId="13" xfId="2" applyFont="1" applyBorder="1" applyAlignment="1">
      <alignment horizontal="center" vertical="center" wrapText="1"/>
    </xf>
    <xf numFmtId="0" fontId="22" fillId="0" borderId="81" xfId="2" applyFont="1" applyBorder="1" applyAlignment="1">
      <alignment horizontal="center" vertical="center"/>
    </xf>
    <xf numFmtId="0" fontId="22" fillId="0" borderId="41" xfId="2" applyFont="1" applyBorder="1" applyAlignment="1">
      <alignment horizontal="center" vertical="center" wrapText="1"/>
    </xf>
    <xf numFmtId="0" fontId="8" fillId="0" borderId="133" xfId="0" applyFont="1" applyBorder="1" applyAlignment="1">
      <alignment vertical="center"/>
    </xf>
    <xf numFmtId="0" fontId="22" fillId="0" borderId="17" xfId="2" applyFont="1" applyBorder="1" applyAlignment="1">
      <alignment horizontal="center" vertical="center"/>
    </xf>
    <xf numFmtId="0" fontId="22" fillId="0" borderId="80" xfId="2" applyFont="1" applyBorder="1" applyAlignment="1">
      <alignment horizontal="center" vertical="center"/>
    </xf>
    <xf numFmtId="0" fontId="8" fillId="0" borderId="84" xfId="0" applyFont="1" applyBorder="1" applyAlignment="1">
      <alignment vertical="center"/>
    </xf>
    <xf numFmtId="0" fontId="22" fillId="0" borderId="82" xfId="2" applyFont="1" applyBorder="1" applyAlignment="1">
      <alignment vertical="center"/>
    </xf>
    <xf numFmtId="0" fontId="8" fillId="0" borderId="46" xfId="0" applyFont="1" applyBorder="1" applyAlignment="1">
      <alignment vertical="center"/>
    </xf>
    <xf numFmtId="0" fontId="4" fillId="0" borderId="125" xfId="0" applyFont="1" applyBorder="1" applyAlignment="1">
      <alignment horizontal="center" vertical="center"/>
    </xf>
    <xf numFmtId="0" fontId="16" fillId="0" borderId="115" xfId="0" applyFont="1" applyBorder="1" applyAlignment="1">
      <alignment horizontal="center" vertical="center"/>
    </xf>
    <xf numFmtId="0" fontId="4" fillId="0" borderId="134" xfId="0" applyFont="1" applyBorder="1" applyAlignment="1">
      <alignment horizontal="center" vertical="center"/>
    </xf>
    <xf numFmtId="0" fontId="16" fillId="0" borderId="83" xfId="0" applyFont="1" applyBorder="1" applyAlignment="1">
      <alignment horizontal="center" vertical="center"/>
    </xf>
    <xf numFmtId="0" fontId="4" fillId="0" borderId="126" xfId="0" applyFont="1" applyBorder="1" applyAlignment="1">
      <alignment horizontal="center" vertical="center"/>
    </xf>
    <xf numFmtId="0" fontId="16" fillId="0" borderId="68" xfId="0" applyFont="1" applyBorder="1" applyAlignment="1">
      <alignment horizontal="center" vertical="center"/>
    </xf>
    <xf numFmtId="0" fontId="16" fillId="0" borderId="88" xfId="0" applyFont="1" applyBorder="1" applyAlignment="1">
      <alignment horizontal="center" vertical="center"/>
    </xf>
    <xf numFmtId="0" fontId="16" fillId="0" borderId="135" xfId="0" applyFont="1" applyBorder="1" applyAlignment="1">
      <alignment vertical="center" wrapText="1"/>
    </xf>
    <xf numFmtId="0" fontId="16" fillId="0" borderId="16" xfId="0" applyFont="1" applyBorder="1" applyAlignment="1">
      <alignment horizontal="center" vertical="center"/>
    </xf>
    <xf numFmtId="0" fontId="6" fillId="0" borderId="18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2" fillId="0" borderId="3" xfId="2" applyFont="1" applyBorder="1" applyAlignment="1">
      <alignment horizontal="center" vertical="center" wrapText="1"/>
    </xf>
    <xf numFmtId="183" fontId="26" fillId="0" borderId="41" xfId="0" applyNumberFormat="1" applyFont="1" applyBorder="1" applyAlignment="1">
      <alignment horizontal="center" vertical="center"/>
    </xf>
    <xf numFmtId="2" fontId="26" fillId="0" borderId="41" xfId="0" applyNumberFormat="1" applyFont="1" applyBorder="1" applyAlignment="1">
      <alignment horizontal="center" vertical="center"/>
    </xf>
    <xf numFmtId="182" fontId="26" fillId="0" borderId="41" xfId="0" applyNumberFormat="1" applyFont="1" applyBorder="1" applyAlignment="1">
      <alignment horizontal="center" vertical="center"/>
    </xf>
    <xf numFmtId="185" fontId="26" fillId="0" borderId="41" xfId="0" applyNumberFormat="1" applyFont="1" applyBorder="1" applyAlignment="1">
      <alignment horizontal="center" vertical="center"/>
    </xf>
    <xf numFmtId="0" fontId="8" fillId="0" borderId="79" xfId="0" applyFont="1" applyBorder="1" applyAlignment="1">
      <alignment horizontal="center" vertical="center" wrapText="1"/>
    </xf>
    <xf numFmtId="0" fontId="8" fillId="0" borderId="58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176" fontId="8" fillId="0" borderId="53" xfId="0" applyNumberFormat="1" applyFont="1" applyBorder="1" applyAlignment="1">
      <alignment horizontal="center" vertical="center"/>
    </xf>
    <xf numFmtId="49" fontId="8" fillId="0" borderId="64" xfId="0" applyNumberFormat="1" applyFont="1" applyBorder="1" applyAlignment="1">
      <alignment horizontal="center" vertical="center"/>
    </xf>
    <xf numFmtId="56" fontId="8" fillId="0" borderId="61" xfId="0" applyNumberFormat="1" applyFont="1" applyBorder="1" applyAlignment="1">
      <alignment horizontal="center" vertical="center"/>
    </xf>
    <xf numFmtId="20" fontId="8" fillId="0" borderId="53" xfId="0" applyNumberFormat="1" applyFont="1" applyBorder="1" applyAlignment="1">
      <alignment horizontal="center" vertical="center"/>
    </xf>
    <xf numFmtId="20" fontId="8" fillId="0" borderId="41" xfId="0" applyNumberFormat="1" applyFont="1" applyBorder="1" applyAlignment="1">
      <alignment horizontal="center" vertical="center"/>
    </xf>
    <xf numFmtId="182" fontId="8" fillId="0" borderId="53" xfId="0" applyNumberFormat="1" applyFont="1" applyBorder="1" applyAlignment="1">
      <alignment horizontal="center" vertical="center"/>
    </xf>
    <xf numFmtId="1" fontId="8" fillId="0" borderId="53" xfId="0" applyNumberFormat="1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183" fontId="8" fillId="0" borderId="53" xfId="0" applyNumberFormat="1" applyFont="1" applyBorder="1" applyAlignment="1">
      <alignment horizontal="center" vertical="center"/>
    </xf>
    <xf numFmtId="184" fontId="8" fillId="0" borderId="53" xfId="0" applyNumberFormat="1" applyFont="1" applyBorder="1" applyAlignment="1">
      <alignment horizontal="center" vertical="center"/>
    </xf>
    <xf numFmtId="183" fontId="8" fillId="0" borderId="65" xfId="0" applyNumberFormat="1" applyFont="1" applyBorder="1" applyAlignment="1">
      <alignment horizontal="center" vertical="center"/>
    </xf>
    <xf numFmtId="185" fontId="8" fillId="0" borderId="53" xfId="0" applyNumberFormat="1" applyFont="1" applyBorder="1" applyAlignment="1">
      <alignment horizontal="center" vertical="center"/>
    </xf>
    <xf numFmtId="2" fontId="8" fillId="0" borderId="53" xfId="0" applyNumberFormat="1" applyFont="1" applyBorder="1" applyAlignment="1">
      <alignment horizontal="center" vertical="center"/>
    </xf>
    <xf numFmtId="2" fontId="8" fillId="0" borderId="41" xfId="0" applyNumberFormat="1" applyFont="1" applyBorder="1" applyAlignment="1">
      <alignment horizontal="center" vertical="center"/>
    </xf>
    <xf numFmtId="183" fontId="8" fillId="0" borderId="41" xfId="0" applyNumberFormat="1" applyFont="1" applyBorder="1" applyAlignment="1">
      <alignment horizontal="center" vertical="center"/>
    </xf>
    <xf numFmtId="193" fontId="8" fillId="0" borderId="53" xfId="1" applyNumberFormat="1" applyFont="1" applyBorder="1" applyAlignment="1">
      <alignment horizontal="center" vertical="center"/>
    </xf>
    <xf numFmtId="192" fontId="8" fillId="0" borderId="65" xfId="0" applyNumberFormat="1" applyFont="1" applyBorder="1" applyAlignment="1">
      <alignment horizontal="center" vertical="center"/>
    </xf>
    <xf numFmtId="1" fontId="8" fillId="0" borderId="65" xfId="0" applyNumberFormat="1" applyFont="1" applyBorder="1" applyAlignment="1">
      <alignment horizontal="center" vertical="center"/>
    </xf>
    <xf numFmtId="182" fontId="8" fillId="0" borderId="66" xfId="0" applyNumberFormat="1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1" fontId="8" fillId="0" borderId="59" xfId="0" applyNumberFormat="1" applyFont="1" applyBorder="1" applyAlignment="1">
      <alignment horizontal="center" vertical="center"/>
    </xf>
    <xf numFmtId="182" fontId="8" fillId="0" borderId="59" xfId="0" applyNumberFormat="1" applyFont="1" applyBorder="1" applyAlignment="1">
      <alignment horizontal="center" vertical="center"/>
    </xf>
    <xf numFmtId="183" fontId="8" fillId="0" borderId="58" xfId="0" applyNumberFormat="1" applyFont="1" applyBorder="1" applyAlignment="1">
      <alignment horizontal="center" vertical="center"/>
    </xf>
    <xf numFmtId="1" fontId="8" fillId="0" borderId="58" xfId="0" applyNumberFormat="1" applyFont="1" applyBorder="1" applyAlignment="1">
      <alignment horizontal="center" vertical="center"/>
    </xf>
    <xf numFmtId="193" fontId="8" fillId="0" borderId="62" xfId="1" applyNumberFormat="1" applyFont="1" applyFill="1" applyBorder="1" applyAlignment="1">
      <alignment horizontal="center" vertical="center"/>
    </xf>
    <xf numFmtId="49" fontId="8" fillId="0" borderId="68" xfId="0" applyNumberFormat="1" applyFont="1" applyBorder="1" applyAlignment="1">
      <alignment horizontal="center" vertical="center"/>
    </xf>
    <xf numFmtId="185" fontId="8" fillId="0" borderId="62" xfId="0" applyNumberFormat="1" applyFont="1" applyBorder="1" applyAlignment="1">
      <alignment horizontal="center" vertical="center"/>
    </xf>
    <xf numFmtId="2" fontId="8" fillId="0" borderId="97" xfId="0" applyNumberFormat="1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49" fontId="8" fillId="0" borderId="92" xfId="0" applyNumberFormat="1" applyFont="1" applyBorder="1" applyAlignment="1">
      <alignment horizontal="center" vertical="center"/>
    </xf>
    <xf numFmtId="182" fontId="8" fillId="0" borderId="65" xfId="0" applyNumberFormat="1" applyFont="1" applyBorder="1" applyAlignment="1">
      <alignment horizontal="center" vertical="center"/>
    </xf>
    <xf numFmtId="2" fontId="8" fillId="0" borderId="63" xfId="0" applyNumberFormat="1" applyFont="1" applyBorder="1" applyAlignment="1">
      <alignment horizontal="center" vertical="center"/>
    </xf>
    <xf numFmtId="186" fontId="8" fillId="0" borderId="53" xfId="0" applyNumberFormat="1" applyFont="1" applyBorder="1" applyAlignment="1">
      <alignment horizontal="center" vertical="center"/>
    </xf>
    <xf numFmtId="20" fontId="8" fillId="0" borderId="65" xfId="0" applyNumberFormat="1" applyFont="1" applyBorder="1" applyAlignment="1">
      <alignment horizontal="center" vertical="center"/>
    </xf>
    <xf numFmtId="2" fontId="8" fillId="0" borderId="65" xfId="0" applyNumberFormat="1" applyFont="1" applyBorder="1" applyAlignment="1">
      <alignment horizontal="center" vertical="center"/>
    </xf>
    <xf numFmtId="186" fontId="8" fillId="0" borderId="65" xfId="0" applyNumberFormat="1" applyFont="1" applyBorder="1" applyAlignment="1">
      <alignment horizontal="center" vertical="center"/>
    </xf>
    <xf numFmtId="185" fontId="8" fillId="0" borderId="65" xfId="0" applyNumberFormat="1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20" fontId="8" fillId="0" borderId="59" xfId="0" applyNumberFormat="1" applyFont="1" applyBorder="1" applyAlignment="1">
      <alignment horizontal="center" vertical="center"/>
    </xf>
    <xf numFmtId="1" fontId="8" fillId="0" borderId="62" xfId="0" applyNumberFormat="1" applyFont="1" applyBorder="1" applyAlignment="1">
      <alignment horizontal="center" vertical="center"/>
    </xf>
    <xf numFmtId="183" fontId="8" fillId="0" borderId="67" xfId="0" applyNumberFormat="1" applyFont="1" applyBorder="1" applyAlignment="1">
      <alignment horizontal="center" vertical="center"/>
    </xf>
    <xf numFmtId="2" fontId="8" fillId="0" borderId="28" xfId="0" applyNumberFormat="1" applyFont="1" applyBorder="1" applyAlignment="1">
      <alignment horizontal="center" vertical="center"/>
    </xf>
    <xf numFmtId="184" fontId="8" fillId="0" borderId="65" xfId="0" applyNumberFormat="1" applyFont="1" applyBorder="1" applyAlignment="1">
      <alignment horizontal="center" vertical="center"/>
    </xf>
    <xf numFmtId="182" fontId="8" fillId="0" borderId="113" xfId="0" applyNumberFormat="1" applyFont="1" applyBorder="1" applyAlignment="1">
      <alignment horizontal="center" vertical="center"/>
    </xf>
    <xf numFmtId="49" fontId="8" fillId="0" borderId="64" xfId="0" quotePrefix="1" applyNumberFormat="1" applyFont="1" applyBorder="1" applyAlignment="1">
      <alignment horizontal="center" vertical="center"/>
    </xf>
    <xf numFmtId="176" fontId="8" fillId="0" borderId="65" xfId="0" applyNumberFormat="1" applyFont="1" applyBorder="1" applyAlignment="1">
      <alignment horizontal="center" vertical="center"/>
    </xf>
    <xf numFmtId="185" fontId="8" fillId="0" borderId="70" xfId="0" applyNumberFormat="1" applyFont="1" applyBorder="1" applyAlignment="1">
      <alignment horizontal="center" vertical="center"/>
    </xf>
    <xf numFmtId="1" fontId="8" fillId="0" borderId="70" xfId="0" applyNumberFormat="1" applyFont="1" applyBorder="1" applyAlignment="1">
      <alignment horizontal="center" vertical="center"/>
    </xf>
    <xf numFmtId="183" fontId="8" fillId="0" borderId="115" xfId="0" applyNumberFormat="1" applyFont="1" applyBorder="1" applyAlignment="1">
      <alignment horizontal="center" vertical="center"/>
    </xf>
    <xf numFmtId="49" fontId="8" fillId="0" borderId="52" xfId="0" applyNumberFormat="1" applyFont="1" applyBorder="1" applyAlignment="1">
      <alignment horizontal="center" vertical="center"/>
    </xf>
    <xf numFmtId="0" fontId="8" fillId="0" borderId="114" xfId="0" applyFont="1" applyBorder="1" applyAlignment="1">
      <alignment horizontal="center" vertical="center"/>
    </xf>
    <xf numFmtId="190" fontId="8" fillId="0" borderId="53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0" fontId="7" fillId="0" borderId="73" xfId="0" applyFont="1" applyBorder="1" applyAlignment="1">
      <alignment horizontal="center" vertical="center"/>
    </xf>
    <xf numFmtId="0" fontId="7" fillId="0" borderId="74" xfId="0" applyFont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0" fontId="7" fillId="0" borderId="76" xfId="0" applyFont="1" applyBorder="1" applyAlignment="1">
      <alignment horizontal="center" vertical="center"/>
    </xf>
    <xf numFmtId="0" fontId="7" fillId="0" borderId="77" xfId="0" applyFont="1" applyBorder="1" applyAlignment="1">
      <alignment horizontal="center" vertical="center"/>
    </xf>
    <xf numFmtId="0" fontId="7" fillId="0" borderId="78" xfId="0" applyFont="1" applyBorder="1" applyAlignment="1">
      <alignment horizontal="center" vertical="center"/>
    </xf>
    <xf numFmtId="182" fontId="7" fillId="0" borderId="109" xfId="0" applyNumberFormat="1" applyFont="1" applyBorder="1" applyAlignment="1">
      <alignment horizontal="center" vertical="center"/>
    </xf>
    <xf numFmtId="182" fontId="7" fillId="0" borderId="110" xfId="0" applyNumberFormat="1" applyFont="1" applyBorder="1" applyAlignment="1">
      <alignment horizontal="center" vertical="center"/>
    </xf>
    <xf numFmtId="182" fontId="7" fillId="0" borderId="111" xfId="0" applyNumberFormat="1" applyFont="1" applyBorder="1" applyAlignment="1">
      <alignment horizontal="center" vertical="center"/>
    </xf>
    <xf numFmtId="176" fontId="7" fillId="0" borderId="109" xfId="0" applyNumberFormat="1" applyFont="1" applyBorder="1" applyAlignment="1">
      <alignment horizontal="center" vertical="center"/>
    </xf>
    <xf numFmtId="176" fontId="7" fillId="0" borderId="110" xfId="0" applyNumberFormat="1" applyFont="1" applyBorder="1" applyAlignment="1">
      <alignment horizontal="center" vertical="center"/>
    </xf>
    <xf numFmtId="0" fontId="7" fillId="0" borderId="138" xfId="0" applyFont="1" applyBorder="1" applyAlignment="1">
      <alignment horizontal="center" vertical="center"/>
    </xf>
    <xf numFmtId="1" fontId="8" fillId="0" borderId="67" xfId="0" applyNumberFormat="1" applyFont="1" applyBorder="1" applyAlignment="1">
      <alignment horizontal="center" vertical="center"/>
    </xf>
    <xf numFmtId="56" fontId="8" fillId="0" borderId="156" xfId="0" applyNumberFormat="1" applyFont="1" applyBorder="1" applyAlignment="1">
      <alignment horizontal="center" vertical="center"/>
    </xf>
    <xf numFmtId="56" fontId="8" fillId="0" borderId="80" xfId="0" applyNumberFormat="1" applyFont="1" applyBorder="1" applyAlignment="1">
      <alignment horizontal="center" vertical="center"/>
    </xf>
    <xf numFmtId="1" fontId="8" fillId="0" borderId="41" xfId="0" applyNumberFormat="1" applyFont="1" applyBorder="1" applyAlignment="1">
      <alignment horizontal="center" vertical="center"/>
    </xf>
    <xf numFmtId="184" fontId="8" fillId="0" borderId="41" xfId="0" applyNumberFormat="1" applyFont="1" applyBorder="1" applyAlignment="1">
      <alignment horizontal="center" vertical="center"/>
    </xf>
    <xf numFmtId="176" fontId="8" fillId="0" borderId="41" xfId="0" applyNumberFormat="1" applyFont="1" applyBorder="1" applyAlignment="1">
      <alignment horizontal="center" vertical="center"/>
    </xf>
    <xf numFmtId="185" fontId="8" fillId="0" borderId="41" xfId="0" applyNumberFormat="1" applyFont="1" applyBorder="1" applyAlignment="1">
      <alignment horizontal="center" vertical="center"/>
    </xf>
    <xf numFmtId="192" fontId="8" fillId="0" borderId="41" xfId="0" applyNumberFormat="1" applyFont="1" applyBorder="1" applyAlignment="1">
      <alignment horizontal="center" vertical="center"/>
    </xf>
    <xf numFmtId="183" fontId="8" fillId="0" borderId="59" xfId="0" applyNumberFormat="1" applyFont="1" applyBorder="1" applyAlignment="1">
      <alignment horizontal="center" vertical="center"/>
    </xf>
    <xf numFmtId="0" fontId="8" fillId="0" borderId="67" xfId="0" applyFont="1" applyBorder="1" applyAlignment="1">
      <alignment horizontal="center" vertical="center"/>
    </xf>
    <xf numFmtId="185" fontId="8" fillId="0" borderId="79" xfId="0" applyNumberFormat="1" applyFont="1" applyBorder="1" applyAlignment="1">
      <alignment horizontal="center" vertical="center"/>
    </xf>
    <xf numFmtId="185" fontId="8" fillId="0" borderId="72" xfId="0" applyNumberFormat="1" applyFont="1" applyBorder="1" applyAlignment="1">
      <alignment horizontal="center" vertical="center"/>
    </xf>
    <xf numFmtId="183" fontId="8" fillId="0" borderId="72" xfId="0" applyNumberFormat="1" applyFont="1" applyBorder="1" applyAlignment="1">
      <alignment horizontal="center" vertical="center"/>
    </xf>
    <xf numFmtId="182" fontId="8" fillId="0" borderId="72" xfId="0" applyNumberFormat="1" applyFont="1" applyBorder="1" applyAlignment="1">
      <alignment horizontal="center" vertical="center"/>
    </xf>
    <xf numFmtId="2" fontId="8" fillId="0" borderId="72" xfId="0" applyNumberFormat="1" applyFont="1" applyBorder="1" applyAlignment="1">
      <alignment horizontal="center" vertical="center"/>
    </xf>
    <xf numFmtId="1" fontId="8" fillId="0" borderId="72" xfId="0" applyNumberFormat="1" applyFont="1" applyBorder="1" applyAlignment="1">
      <alignment horizontal="center" vertical="center"/>
    </xf>
    <xf numFmtId="2" fontId="8" fillId="0" borderId="54" xfId="0" applyNumberFormat="1" applyFont="1" applyBorder="1" applyAlignment="1">
      <alignment horizontal="center" vertical="center"/>
    </xf>
    <xf numFmtId="0" fontId="8" fillId="0" borderId="97" xfId="0" applyFont="1" applyBorder="1" applyAlignment="1">
      <alignment horizontal="center" vertical="center"/>
    </xf>
    <xf numFmtId="49" fontId="8" fillId="0" borderId="67" xfId="0" applyNumberFormat="1" applyFont="1" applyBorder="1" applyAlignment="1">
      <alignment horizontal="center" vertical="center"/>
    </xf>
    <xf numFmtId="1" fontId="8" fillId="0" borderId="81" xfId="0" applyNumberFormat="1" applyFont="1" applyBorder="1" applyAlignment="1">
      <alignment horizontal="center" vertical="center"/>
    </xf>
    <xf numFmtId="56" fontId="8" fillId="0" borderId="41" xfId="0" applyNumberFormat="1" applyFont="1" applyBorder="1" applyAlignment="1">
      <alignment horizontal="center" vertical="center"/>
    </xf>
    <xf numFmtId="0" fontId="8" fillId="0" borderId="69" xfId="0" applyFont="1" applyBorder="1" applyAlignment="1">
      <alignment horizontal="right" vertical="center"/>
    </xf>
    <xf numFmtId="181" fontId="8" fillId="0" borderId="124" xfId="0" applyNumberFormat="1" applyFont="1" applyBorder="1" applyAlignment="1">
      <alignment horizontal="right" vertical="center"/>
    </xf>
    <xf numFmtId="0" fontId="8" fillId="0" borderId="65" xfId="0" applyFont="1" applyBorder="1" applyAlignment="1">
      <alignment horizontal="right" vertical="center"/>
    </xf>
    <xf numFmtId="0" fontId="8" fillId="0" borderId="131" xfId="0" applyFont="1" applyBorder="1" applyAlignment="1">
      <alignment horizontal="right" vertical="center"/>
    </xf>
    <xf numFmtId="177" fontId="8" fillId="0" borderId="113" xfId="0" applyNumberFormat="1" applyFont="1" applyBorder="1" applyAlignment="1">
      <alignment horizontal="right" vertical="center"/>
    </xf>
    <xf numFmtId="181" fontId="8" fillId="0" borderId="130" xfId="0" applyNumberFormat="1" applyFont="1" applyBorder="1" applyAlignment="1">
      <alignment horizontal="right" vertical="center"/>
    </xf>
    <xf numFmtId="181" fontId="8" fillId="0" borderId="128" xfId="0" applyNumberFormat="1" applyFont="1" applyBorder="1" applyAlignment="1">
      <alignment horizontal="right" vertical="center"/>
    </xf>
    <xf numFmtId="0" fontId="8" fillId="0" borderId="28" xfId="0" applyFont="1" applyBorder="1" applyAlignment="1">
      <alignment horizontal="right" vertical="center"/>
    </xf>
    <xf numFmtId="181" fontId="8" fillId="0" borderId="126" xfId="0" applyNumberFormat="1" applyFont="1" applyBorder="1" applyAlignment="1">
      <alignment horizontal="right" vertical="center"/>
    </xf>
    <xf numFmtId="182" fontId="8" fillId="0" borderId="54" xfId="0" applyNumberFormat="1" applyFont="1" applyBorder="1" applyAlignment="1">
      <alignment horizontal="center" vertical="center"/>
    </xf>
    <xf numFmtId="181" fontId="8" fillId="0" borderId="119" xfId="0" applyNumberFormat="1" applyFont="1" applyBorder="1" applyAlignment="1">
      <alignment horizontal="right" vertical="center"/>
    </xf>
    <xf numFmtId="190" fontId="8" fillId="0" borderId="54" xfId="0" applyNumberFormat="1" applyFont="1" applyBorder="1" applyAlignment="1">
      <alignment horizontal="center" vertical="center"/>
    </xf>
    <xf numFmtId="1" fontId="8" fillId="0" borderId="36" xfId="0" applyNumberFormat="1" applyFont="1" applyBorder="1" applyAlignment="1">
      <alignment horizontal="center" vertical="center"/>
    </xf>
    <xf numFmtId="183" fontId="8" fillId="0" borderId="36" xfId="0" applyNumberFormat="1" applyFont="1" applyBorder="1" applyAlignment="1">
      <alignment horizontal="center" vertical="center"/>
    </xf>
    <xf numFmtId="184" fontId="8" fillId="0" borderId="36" xfId="0" applyNumberFormat="1" applyFont="1" applyBorder="1" applyAlignment="1">
      <alignment horizontal="center" vertical="center"/>
    </xf>
    <xf numFmtId="193" fontId="8" fillId="0" borderId="36" xfId="1" applyNumberFormat="1" applyFont="1" applyFill="1" applyBorder="1" applyAlignment="1">
      <alignment horizontal="center" vertical="center"/>
    </xf>
    <xf numFmtId="2" fontId="8" fillId="0" borderId="36" xfId="0" applyNumberFormat="1" applyFont="1" applyBorder="1" applyAlignment="1">
      <alignment horizontal="center" vertical="center"/>
    </xf>
    <xf numFmtId="182" fontId="8" fillId="0" borderId="36" xfId="0" applyNumberFormat="1" applyFont="1" applyBorder="1" applyAlignment="1">
      <alignment horizontal="center" vertical="center"/>
    </xf>
    <xf numFmtId="185" fontId="8" fillId="0" borderId="36" xfId="0" applyNumberFormat="1" applyFont="1" applyBorder="1" applyAlignment="1">
      <alignment horizontal="center" vertical="center"/>
    </xf>
    <xf numFmtId="185" fontId="8" fillId="0" borderId="34" xfId="0" applyNumberFormat="1" applyFont="1" applyBorder="1" applyAlignment="1">
      <alignment horizontal="center" vertical="center"/>
    </xf>
    <xf numFmtId="182" fontId="8" fillId="0" borderId="34" xfId="0" applyNumberFormat="1" applyFont="1" applyBorder="1" applyAlignment="1">
      <alignment horizontal="center" vertical="center"/>
    </xf>
    <xf numFmtId="182" fontId="8" fillId="0" borderId="31" xfId="0" applyNumberFormat="1" applyFont="1" applyBorder="1" applyAlignment="1">
      <alignment horizontal="center" vertical="center"/>
    </xf>
    <xf numFmtId="0" fontId="8" fillId="0" borderId="120" xfId="0" applyFont="1" applyBorder="1" applyAlignment="1">
      <alignment horizontal="right" vertical="center"/>
    </xf>
    <xf numFmtId="40" fontId="8" fillId="0" borderId="54" xfId="1" applyNumberFormat="1" applyFont="1" applyFill="1" applyBorder="1" applyAlignment="1">
      <alignment horizontal="center" vertical="center"/>
    </xf>
    <xf numFmtId="184" fontId="8" fillId="0" borderId="59" xfId="0" applyNumberFormat="1" applyFont="1" applyBorder="1" applyAlignment="1">
      <alignment horizontal="center" vertical="center"/>
    </xf>
    <xf numFmtId="2" fontId="8" fillId="0" borderId="59" xfId="0" applyNumberFormat="1" applyFont="1" applyBorder="1" applyAlignment="1">
      <alignment horizontal="center" vertical="center"/>
    </xf>
    <xf numFmtId="185" fontId="8" fillId="0" borderId="59" xfId="0" applyNumberFormat="1" applyFont="1" applyBorder="1" applyAlignment="1">
      <alignment horizontal="center" vertical="center"/>
    </xf>
    <xf numFmtId="186" fontId="8" fillId="0" borderId="59" xfId="0" applyNumberFormat="1" applyFont="1" applyBorder="1" applyAlignment="1">
      <alignment horizontal="center" vertical="center"/>
    </xf>
    <xf numFmtId="182" fontId="8" fillId="0" borderId="85" xfId="0" applyNumberFormat="1" applyFont="1" applyBorder="1" applyAlignment="1">
      <alignment horizontal="center" vertical="center"/>
    </xf>
    <xf numFmtId="38" fontId="8" fillId="0" borderId="59" xfId="1" applyFont="1" applyFill="1" applyBorder="1" applyAlignment="1">
      <alignment horizontal="center" vertical="center"/>
    </xf>
    <xf numFmtId="182" fontId="8" fillId="0" borderId="63" xfId="0" applyNumberFormat="1" applyFont="1" applyBorder="1" applyAlignment="1">
      <alignment horizontal="center" vertical="center"/>
    </xf>
    <xf numFmtId="190" fontId="8" fillId="0" borderId="59" xfId="0" applyNumberFormat="1" applyFont="1" applyBorder="1" applyAlignment="1">
      <alignment horizontal="center" vertical="center"/>
    </xf>
    <xf numFmtId="38" fontId="8" fillId="0" borderId="58" xfId="1" applyFont="1" applyFill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49" fontId="8" fillId="0" borderId="94" xfId="0" applyNumberFormat="1" applyFont="1" applyBorder="1" applyAlignment="1">
      <alignment horizontal="center" vertical="center"/>
    </xf>
    <xf numFmtId="1" fontId="8" fillId="0" borderId="66" xfId="0" applyNumberFormat="1" applyFont="1" applyBorder="1" applyAlignment="1">
      <alignment horizontal="center" vertical="center"/>
    </xf>
    <xf numFmtId="186" fontId="8" fillId="0" borderId="41" xfId="0" applyNumberFormat="1" applyFont="1" applyBorder="1" applyAlignment="1">
      <alignment horizontal="center" vertical="center"/>
    </xf>
    <xf numFmtId="182" fontId="7" fillId="0" borderId="95" xfId="0" applyNumberFormat="1" applyFont="1" applyBorder="1" applyAlignment="1">
      <alignment horizontal="center" vertical="center"/>
    </xf>
    <xf numFmtId="182" fontId="7" fillId="0" borderId="96" xfId="0" applyNumberFormat="1" applyFont="1" applyBorder="1" applyAlignment="1">
      <alignment horizontal="center" vertical="center"/>
    </xf>
    <xf numFmtId="182" fontId="7" fillId="0" borderId="105" xfId="0" applyNumberFormat="1" applyFont="1" applyBorder="1" applyAlignment="1">
      <alignment horizontal="center" vertical="center"/>
    </xf>
    <xf numFmtId="0" fontId="7" fillId="0" borderId="102" xfId="0" applyFont="1" applyBorder="1" applyAlignment="1">
      <alignment horizontal="center" vertical="center"/>
    </xf>
    <xf numFmtId="0" fontId="7" fillId="0" borderId="103" xfId="0" applyFont="1" applyBorder="1" applyAlignment="1">
      <alignment horizontal="center" vertical="center"/>
    </xf>
    <xf numFmtId="0" fontId="7" fillId="0" borderId="104" xfId="0" applyFont="1" applyBorder="1" applyAlignment="1">
      <alignment horizontal="center" vertical="center"/>
    </xf>
    <xf numFmtId="176" fontId="7" fillId="0" borderId="95" xfId="0" applyNumberFormat="1" applyFont="1" applyBorder="1" applyAlignment="1">
      <alignment horizontal="center" vertical="center"/>
    </xf>
    <xf numFmtId="176" fontId="7" fillId="0" borderId="96" xfId="0" applyNumberFormat="1" applyFont="1" applyBorder="1" applyAlignment="1">
      <alignment horizontal="center" vertical="center"/>
    </xf>
    <xf numFmtId="0" fontId="7" fillId="0" borderId="112" xfId="0" applyFont="1" applyBorder="1" applyAlignment="1">
      <alignment horizontal="center" vertical="center"/>
    </xf>
    <xf numFmtId="56" fontId="8" fillId="0" borderId="84" xfId="0" applyNumberFormat="1" applyFont="1" applyBorder="1" applyAlignment="1">
      <alignment horizontal="center" vertical="center"/>
    </xf>
    <xf numFmtId="192" fontId="8" fillId="0" borderId="36" xfId="0" applyNumberFormat="1" applyFont="1" applyBorder="1" applyAlignment="1">
      <alignment horizontal="center" vertical="center"/>
    </xf>
    <xf numFmtId="182" fontId="8" fillId="0" borderId="81" xfId="0" applyNumberFormat="1" applyFont="1" applyBorder="1" applyAlignment="1">
      <alignment horizontal="center" vertical="center"/>
    </xf>
    <xf numFmtId="38" fontId="8" fillId="0" borderId="58" xfId="1" applyFont="1" applyBorder="1" applyAlignment="1">
      <alignment horizontal="center" vertical="center"/>
    </xf>
    <xf numFmtId="182" fontId="8" fillId="0" borderId="58" xfId="0" applyNumberFormat="1" applyFont="1" applyBorder="1" applyAlignment="1">
      <alignment horizontal="center" vertical="center"/>
    </xf>
    <xf numFmtId="2" fontId="8" fillId="0" borderId="42" xfId="0" applyNumberFormat="1" applyFont="1" applyBorder="1" applyAlignment="1">
      <alignment horizontal="center" vertical="center"/>
    </xf>
    <xf numFmtId="182" fontId="8" fillId="0" borderId="86" xfId="0" applyNumberFormat="1" applyFont="1" applyBorder="1" applyAlignment="1">
      <alignment horizontal="center" vertical="center"/>
    </xf>
    <xf numFmtId="1" fontId="8" fillId="0" borderId="34" xfId="0" applyNumberFormat="1" applyFont="1" applyBorder="1" applyAlignment="1">
      <alignment horizontal="center" vertical="center"/>
    </xf>
    <xf numFmtId="183" fontId="8" fillId="0" borderId="83" xfId="0" applyNumberFormat="1" applyFont="1" applyBorder="1" applyAlignment="1">
      <alignment horizontal="center" vertical="center"/>
    </xf>
    <xf numFmtId="182" fontId="8" fillId="0" borderId="27" xfId="0" applyNumberFormat="1" applyFont="1" applyBorder="1" applyAlignment="1">
      <alignment horizontal="center" vertical="center"/>
    </xf>
    <xf numFmtId="180" fontId="8" fillId="0" borderId="59" xfId="0" applyNumberFormat="1" applyFont="1" applyBorder="1" applyAlignment="1">
      <alignment horizontal="center" vertical="center"/>
    </xf>
    <xf numFmtId="176" fontId="8" fillId="0" borderId="59" xfId="0" applyNumberFormat="1" applyFont="1" applyBorder="1" applyAlignment="1">
      <alignment horizontal="center" vertical="center"/>
    </xf>
    <xf numFmtId="0" fontId="8" fillId="0" borderId="85" xfId="0" applyFont="1" applyBorder="1" applyAlignment="1">
      <alignment horizontal="center" vertical="center"/>
    </xf>
    <xf numFmtId="186" fontId="8" fillId="0" borderId="36" xfId="0" applyNumberFormat="1" applyFont="1" applyBorder="1" applyAlignment="1">
      <alignment horizontal="center" vertical="center"/>
    </xf>
    <xf numFmtId="0" fontId="7" fillId="0" borderId="170" xfId="0" applyFont="1" applyBorder="1" applyAlignment="1">
      <alignment horizontal="center" vertical="center"/>
    </xf>
    <xf numFmtId="0" fontId="7" fillId="0" borderId="171" xfId="0" applyFont="1" applyBorder="1" applyAlignment="1">
      <alignment horizontal="center" vertical="center"/>
    </xf>
    <xf numFmtId="0" fontId="7" fillId="0" borderId="173" xfId="0" applyFont="1" applyBorder="1" applyAlignment="1">
      <alignment horizontal="center" vertical="center"/>
    </xf>
    <xf numFmtId="193" fontId="8" fillId="0" borderId="41" xfId="1" applyNumberFormat="1" applyFont="1" applyFill="1" applyBorder="1" applyAlignment="1">
      <alignment horizontal="center" vertical="center"/>
    </xf>
    <xf numFmtId="196" fontId="8" fillId="0" borderId="41" xfId="0" applyNumberFormat="1" applyFont="1" applyBorder="1" applyAlignment="1">
      <alignment horizontal="center" vertical="center"/>
    </xf>
    <xf numFmtId="195" fontId="8" fillId="0" borderId="41" xfId="0" applyNumberFormat="1" applyFont="1" applyBorder="1" applyAlignment="1">
      <alignment horizontal="center" vertical="center"/>
    </xf>
    <xf numFmtId="197" fontId="8" fillId="0" borderId="41" xfId="0" applyNumberFormat="1" applyFont="1" applyBorder="1" applyAlignment="1">
      <alignment horizontal="center" vertical="center"/>
    </xf>
    <xf numFmtId="0" fontId="8" fillId="0" borderId="132" xfId="0" applyFont="1" applyBorder="1" applyAlignment="1">
      <alignment horizontal="right" vertical="center"/>
    </xf>
    <xf numFmtId="0" fontId="8" fillId="0" borderId="127" xfId="0" applyFont="1" applyBorder="1" applyAlignment="1">
      <alignment horizontal="right" vertical="center"/>
    </xf>
    <xf numFmtId="0" fontId="8" fillId="0" borderId="137" xfId="0" applyFont="1" applyBorder="1" applyAlignment="1">
      <alignment horizontal="right" vertical="center"/>
    </xf>
    <xf numFmtId="177" fontId="8" fillId="0" borderId="136" xfId="0" applyNumberFormat="1" applyFont="1" applyBorder="1" applyAlignment="1">
      <alignment horizontal="right" vertical="center"/>
    </xf>
    <xf numFmtId="181" fontId="8" fillId="0" borderId="129" xfId="0" applyNumberFormat="1" applyFont="1" applyBorder="1" applyAlignment="1">
      <alignment horizontal="right" vertical="center"/>
    </xf>
    <xf numFmtId="0" fontId="8" fillId="0" borderId="122" xfId="0" applyFont="1" applyBorder="1" applyAlignment="1">
      <alignment horizontal="right" vertical="center"/>
    </xf>
    <xf numFmtId="181" fontId="8" fillId="0" borderId="123" xfId="0" applyNumberFormat="1" applyFont="1" applyBorder="1" applyAlignment="1">
      <alignment horizontal="right" vertical="center"/>
    </xf>
    <xf numFmtId="178" fontId="8" fillId="0" borderId="123" xfId="0" applyNumberFormat="1" applyFont="1" applyBorder="1" applyAlignment="1">
      <alignment horizontal="right" vertical="center"/>
    </xf>
    <xf numFmtId="0" fontId="8" fillId="0" borderId="118" xfId="0" applyFont="1" applyBorder="1" applyAlignment="1">
      <alignment horizontal="right" vertical="center"/>
    </xf>
    <xf numFmtId="181" fontId="8" fillId="0" borderId="117" xfId="0" applyNumberFormat="1" applyFont="1" applyBorder="1" applyAlignment="1">
      <alignment horizontal="right" vertical="center"/>
    </xf>
    <xf numFmtId="183" fontId="8" fillId="0" borderId="86" xfId="0" applyNumberFormat="1" applyFont="1" applyBorder="1" applyAlignment="1">
      <alignment horizontal="center" vertical="center"/>
    </xf>
    <xf numFmtId="40" fontId="8" fillId="0" borderId="54" xfId="0" applyNumberFormat="1" applyFont="1" applyBorder="1" applyAlignment="1">
      <alignment horizontal="center" vertical="center"/>
    </xf>
    <xf numFmtId="183" fontId="8" fillId="0" borderId="54" xfId="0" applyNumberFormat="1" applyFont="1" applyBorder="1" applyAlignment="1">
      <alignment horizontal="center" vertical="center"/>
    </xf>
    <xf numFmtId="198" fontId="8" fillId="0" borderId="41" xfId="0" applyNumberFormat="1" applyFont="1" applyBorder="1" applyAlignment="1">
      <alignment horizontal="center" vertical="center"/>
    </xf>
    <xf numFmtId="38" fontId="8" fillId="0" borderId="41" xfId="1" applyFont="1" applyFill="1" applyBorder="1" applyAlignment="1">
      <alignment horizontal="center" vertical="center"/>
    </xf>
    <xf numFmtId="183" fontId="8" fillId="0" borderId="85" xfId="0" applyNumberFormat="1" applyFont="1" applyBorder="1" applyAlignment="1">
      <alignment horizontal="center" vertical="center"/>
    </xf>
    <xf numFmtId="183" fontId="28" fillId="0" borderId="41" xfId="0" applyNumberFormat="1" applyFont="1" applyBorder="1" applyAlignment="1">
      <alignment horizontal="center" vertical="center"/>
    </xf>
    <xf numFmtId="2" fontId="28" fillId="0" borderId="41" xfId="0" applyNumberFormat="1" applyFont="1" applyBorder="1" applyAlignment="1">
      <alignment horizontal="center" vertical="center"/>
    </xf>
    <xf numFmtId="185" fontId="28" fillId="0" borderId="41" xfId="0" applyNumberFormat="1" applyFont="1" applyBorder="1" applyAlignment="1">
      <alignment horizontal="center" vertical="center"/>
    </xf>
    <xf numFmtId="186" fontId="28" fillId="0" borderId="41" xfId="0" applyNumberFormat="1" applyFont="1" applyBorder="1" applyAlignment="1">
      <alignment horizontal="center" vertical="center"/>
    </xf>
    <xf numFmtId="182" fontId="8" fillId="0" borderId="42" xfId="0" applyNumberFormat="1" applyFont="1" applyBorder="1" applyAlignment="1">
      <alignment horizontal="center" vertical="center"/>
    </xf>
    <xf numFmtId="0" fontId="28" fillId="0" borderId="41" xfId="0" applyFont="1" applyBorder="1" applyAlignment="1">
      <alignment horizontal="center" vertical="center"/>
    </xf>
    <xf numFmtId="1" fontId="28" fillId="0" borderId="41" xfId="0" applyNumberFormat="1" applyFont="1" applyBorder="1" applyAlignment="1">
      <alignment horizontal="center" vertical="center"/>
    </xf>
    <xf numFmtId="182" fontId="28" fillId="0" borderId="41" xfId="0" applyNumberFormat="1" applyFont="1" applyBorder="1" applyAlignment="1">
      <alignment horizontal="center" vertical="center"/>
    </xf>
    <xf numFmtId="185" fontId="8" fillId="0" borderId="42" xfId="0" applyNumberFormat="1" applyFont="1" applyBorder="1" applyAlignment="1">
      <alignment horizontal="center" vertical="center"/>
    </xf>
    <xf numFmtId="183" fontId="8" fillId="0" borderId="56" xfId="0" applyNumberFormat="1" applyFont="1" applyBorder="1" applyAlignment="1">
      <alignment horizontal="center" vertical="center"/>
    </xf>
    <xf numFmtId="183" fontId="8" fillId="0" borderId="42" xfId="0" applyNumberFormat="1" applyFont="1" applyBorder="1" applyAlignment="1">
      <alignment horizontal="center" vertical="center"/>
    </xf>
    <xf numFmtId="1" fontId="8" fillId="0" borderId="42" xfId="0" applyNumberFormat="1" applyFont="1" applyBorder="1" applyAlignment="1">
      <alignment horizontal="center" vertical="center"/>
    </xf>
    <xf numFmtId="0" fontId="8" fillId="0" borderId="86" xfId="0" applyFont="1" applyBorder="1" applyAlignment="1">
      <alignment horizontal="center" vertical="center"/>
    </xf>
    <xf numFmtId="181" fontId="8" fillId="0" borderId="121" xfId="0" applyNumberFormat="1" applyFont="1" applyBorder="1" applyAlignment="1">
      <alignment horizontal="right" vertical="center"/>
    </xf>
    <xf numFmtId="178" fontId="8" fillId="0" borderId="121" xfId="0" applyNumberFormat="1" applyFont="1" applyBorder="1" applyAlignment="1">
      <alignment horizontal="right" vertical="center"/>
    </xf>
    <xf numFmtId="181" fontId="8" fillId="0" borderId="125" xfId="0" applyNumberFormat="1" applyFont="1" applyBorder="1" applyAlignment="1">
      <alignment horizontal="right" vertical="center"/>
    </xf>
    <xf numFmtId="0" fontId="8" fillId="0" borderId="116" xfId="0" applyFont="1" applyBorder="1" applyAlignment="1">
      <alignment horizontal="right" vertical="center"/>
    </xf>
    <xf numFmtId="190" fontId="8" fillId="0" borderId="41" xfId="0" applyNumberFormat="1" applyFont="1" applyBorder="1" applyAlignment="1">
      <alignment horizontal="center" vertical="center"/>
    </xf>
    <xf numFmtId="1" fontId="8" fillId="0" borderId="33" xfId="0" applyNumberFormat="1" applyFont="1" applyBorder="1" applyAlignment="1">
      <alignment horizontal="center" vertical="center"/>
    </xf>
    <xf numFmtId="182" fontId="8" fillId="2" borderId="41" xfId="0" applyNumberFormat="1" applyFont="1" applyFill="1" applyBorder="1" applyAlignment="1">
      <alignment horizontal="center" vertical="center"/>
    </xf>
    <xf numFmtId="1" fontId="8" fillId="2" borderId="41" xfId="0" applyNumberFormat="1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/>
    </xf>
    <xf numFmtId="193" fontId="8" fillId="2" borderId="42" xfId="1" applyNumberFormat="1" applyFont="1" applyFill="1" applyBorder="1" applyAlignment="1">
      <alignment horizontal="center" vertical="center"/>
    </xf>
    <xf numFmtId="180" fontId="8" fillId="0" borderId="41" xfId="0" applyNumberFormat="1" applyFont="1" applyBorder="1" applyAlignment="1">
      <alignment horizontal="center" vertical="center"/>
    </xf>
    <xf numFmtId="0" fontId="8" fillId="0" borderId="42" xfId="0" applyFont="1" applyBorder="1" applyAlignment="1">
      <alignment vertical="center"/>
    </xf>
    <xf numFmtId="0" fontId="8" fillId="0" borderId="54" xfId="0" applyFont="1" applyBorder="1" applyAlignment="1">
      <alignment vertical="center"/>
    </xf>
    <xf numFmtId="0" fontId="8" fillId="0" borderId="27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56" fontId="8" fillId="0" borderId="156" xfId="0" applyNumberFormat="1" applyFont="1" applyBorder="1" applyAlignment="1">
      <alignment horizontal="center" vertical="center"/>
    </xf>
    <xf numFmtId="182" fontId="8" fillId="0" borderId="36" xfId="0" applyNumberFormat="1" applyFont="1" applyBorder="1" applyAlignment="1">
      <alignment horizontal="center" vertical="center"/>
    </xf>
    <xf numFmtId="182" fontId="8" fillId="0" borderId="59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182" fontId="8" fillId="0" borderId="54" xfId="0" applyNumberFormat="1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2" fontId="8" fillId="0" borderId="54" xfId="0" applyNumberFormat="1" applyFont="1" applyBorder="1" applyAlignment="1">
      <alignment horizontal="center" vertical="center"/>
    </xf>
    <xf numFmtId="2" fontId="8" fillId="0" borderId="97" xfId="0" applyNumberFormat="1" applyFont="1" applyBorder="1" applyAlignment="1">
      <alignment horizontal="center" vertical="center"/>
    </xf>
    <xf numFmtId="56" fontId="8" fillId="0" borderId="82" xfId="0" applyNumberFormat="1" applyFont="1" applyBorder="1" applyAlignment="1">
      <alignment horizontal="center" vertical="center"/>
    </xf>
    <xf numFmtId="20" fontId="8" fillId="0" borderId="36" xfId="0" applyNumberFormat="1" applyFont="1" applyBorder="1" applyAlignment="1">
      <alignment horizontal="center" vertical="center"/>
    </xf>
    <xf numFmtId="0" fontId="8" fillId="0" borderId="34" xfId="0" applyFont="1" applyBorder="1" applyAlignment="1">
      <alignment vertical="center"/>
    </xf>
    <xf numFmtId="0" fontId="8" fillId="0" borderId="27" xfId="0" applyFont="1" applyBorder="1" applyAlignment="1">
      <alignment vertical="center"/>
    </xf>
    <xf numFmtId="0" fontId="8" fillId="0" borderId="4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82" fontId="8" fillId="0" borderId="36" xfId="0" applyNumberFormat="1" applyFont="1" applyBorder="1" applyAlignment="1">
      <alignment horizontal="center" vertical="center"/>
    </xf>
    <xf numFmtId="182" fontId="8" fillId="0" borderId="59" xfId="0" applyNumberFormat="1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182" fontId="8" fillId="0" borderId="54" xfId="0" applyNumberFormat="1" applyFont="1" applyBorder="1" applyAlignment="1">
      <alignment horizontal="center" vertical="center"/>
    </xf>
    <xf numFmtId="2" fontId="8" fillId="0" borderId="54" xfId="0" applyNumberFormat="1" applyFont="1" applyBorder="1" applyAlignment="1">
      <alignment horizontal="center" vertical="center"/>
    </xf>
    <xf numFmtId="56" fontId="8" fillId="0" borderId="139" xfId="0" applyNumberFormat="1" applyFont="1" applyBorder="1" applyAlignment="1">
      <alignment horizontal="center" vertical="center"/>
    </xf>
    <xf numFmtId="20" fontId="8" fillId="0" borderId="101" xfId="0" applyNumberFormat="1" applyFont="1" applyBorder="1" applyAlignment="1">
      <alignment horizontal="center" vertical="center"/>
    </xf>
    <xf numFmtId="0" fontId="8" fillId="0" borderId="101" xfId="0" applyFont="1" applyBorder="1" applyAlignment="1">
      <alignment horizontal="center" vertical="center"/>
    </xf>
    <xf numFmtId="182" fontId="8" fillId="0" borderId="101" xfId="0" applyNumberFormat="1" applyFont="1" applyBorder="1" applyAlignment="1">
      <alignment horizontal="center" vertical="center"/>
    </xf>
    <xf numFmtId="1" fontId="8" fillId="0" borderId="3" xfId="0" applyNumberFormat="1" applyFont="1" applyBorder="1" applyAlignment="1">
      <alignment horizontal="center" vertical="center"/>
    </xf>
    <xf numFmtId="183" fontId="8" fillId="0" borderId="3" xfId="0" applyNumberFormat="1" applyFont="1" applyBorder="1" applyAlignment="1">
      <alignment horizontal="center" vertical="center"/>
    </xf>
    <xf numFmtId="184" fontId="8" fillId="0" borderId="3" xfId="0" applyNumberFormat="1" applyFont="1" applyBorder="1" applyAlignment="1">
      <alignment horizontal="center" vertical="center"/>
    </xf>
    <xf numFmtId="182" fontId="8" fillId="0" borderId="3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185" fontId="8" fillId="0" borderId="3" xfId="0" applyNumberFormat="1" applyFont="1" applyBorder="1" applyAlignment="1">
      <alignment horizontal="center" vertical="center"/>
    </xf>
    <xf numFmtId="186" fontId="8" fillId="0" borderId="3" xfId="0" applyNumberFormat="1" applyFont="1" applyBorder="1" applyAlignment="1">
      <alignment horizontal="center" vertical="center"/>
    </xf>
    <xf numFmtId="182" fontId="8" fillId="0" borderId="1" xfId="0" applyNumberFormat="1" applyFont="1" applyBorder="1" applyAlignment="1">
      <alignment horizontal="center" vertical="center"/>
    </xf>
    <xf numFmtId="181" fontId="8" fillId="0" borderId="36" xfId="0" applyNumberFormat="1" applyFont="1" applyBorder="1" applyAlignment="1">
      <alignment horizontal="center" vertical="center"/>
    </xf>
    <xf numFmtId="183" fontId="8" fillId="0" borderId="34" xfId="0" applyNumberFormat="1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/>
    </xf>
    <xf numFmtId="38" fontId="8" fillId="0" borderId="36" xfId="1" applyFont="1" applyFill="1" applyBorder="1" applyAlignment="1">
      <alignment horizontal="center" vertical="center"/>
    </xf>
    <xf numFmtId="194" fontId="8" fillId="0" borderId="3" xfId="0" applyNumberFormat="1" applyFont="1" applyBorder="1" applyAlignment="1">
      <alignment horizontal="center" vertical="center"/>
    </xf>
    <xf numFmtId="56" fontId="8" fillId="0" borderId="17" xfId="0" applyNumberFormat="1" applyFont="1" applyBorder="1" applyAlignment="1">
      <alignment horizontal="center" vertical="center"/>
    </xf>
    <xf numFmtId="20" fontId="8" fillId="0" borderId="3" xfId="0" applyNumberFormat="1" applyFont="1" applyBorder="1" applyAlignment="1">
      <alignment horizontal="center" vertical="center"/>
    </xf>
    <xf numFmtId="176" fontId="8" fillId="0" borderId="36" xfId="0" applyNumberFormat="1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82" fontId="8" fillId="0" borderId="27" xfId="0" applyNumberFormat="1" applyFont="1" applyBorder="1" applyAlignment="1">
      <alignment horizontal="center" vertical="center"/>
    </xf>
    <xf numFmtId="182" fontId="8" fillId="0" borderId="36" xfId="0" applyNumberFormat="1" applyFont="1" applyBorder="1" applyAlignment="1">
      <alignment horizontal="center" vertical="center"/>
    </xf>
    <xf numFmtId="182" fontId="8" fillId="0" borderId="59" xfId="0" applyNumberFormat="1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182" fontId="8" fillId="0" borderId="54" xfId="0" applyNumberFormat="1" applyFont="1" applyBorder="1" applyAlignment="1">
      <alignment horizontal="center" vertical="center"/>
    </xf>
    <xf numFmtId="2" fontId="8" fillId="0" borderId="63" xfId="0" applyNumberFormat="1" applyFont="1" applyBorder="1" applyAlignment="1">
      <alignment horizontal="center" vertical="center"/>
    </xf>
    <xf numFmtId="2" fontId="8" fillId="0" borderId="54" xfId="0" applyNumberFormat="1" applyFont="1" applyBorder="1" applyAlignment="1">
      <alignment horizontal="center" vertical="center"/>
    </xf>
    <xf numFmtId="182" fontId="8" fillId="0" borderId="59" xfId="0" applyNumberFormat="1" applyFont="1" applyBorder="1" applyAlignment="1">
      <alignment horizontal="center" vertical="center"/>
    </xf>
    <xf numFmtId="180" fontId="8" fillId="0" borderId="3" xfId="0" applyNumberFormat="1" applyFont="1" applyBorder="1" applyAlignment="1">
      <alignment horizontal="center" vertical="center"/>
    </xf>
    <xf numFmtId="186" fontId="8" fillId="0" borderId="60" xfId="0" applyNumberFormat="1" applyFont="1" applyBorder="1" applyAlignment="1">
      <alignment horizontal="center" vertical="center"/>
    </xf>
    <xf numFmtId="186" fontId="8" fillId="0" borderId="56" xfId="0" applyNumberFormat="1" applyFont="1" applyBorder="1" applyAlignment="1">
      <alignment horizontal="center" vertical="center"/>
    </xf>
    <xf numFmtId="186" fontId="8" fillId="0" borderId="31" xfId="0" applyNumberFormat="1" applyFont="1" applyBorder="1" applyAlignment="1">
      <alignment horizontal="center" vertical="center"/>
    </xf>
    <xf numFmtId="1" fontId="8" fillId="0" borderId="63" xfId="0" applyNumberFormat="1" applyFont="1" applyBorder="1" applyAlignment="1">
      <alignment horizontal="center" vertical="center"/>
    </xf>
    <xf numFmtId="187" fontId="8" fillId="0" borderId="53" xfId="0" applyNumberFormat="1" applyFont="1" applyBorder="1" applyAlignment="1">
      <alignment horizontal="center" vertical="center"/>
    </xf>
    <xf numFmtId="187" fontId="8" fillId="0" borderId="36" xfId="0" applyNumberFormat="1" applyFont="1" applyBorder="1" applyAlignment="1">
      <alignment horizontal="center" vertical="center"/>
    </xf>
    <xf numFmtId="190" fontId="8" fillId="0" borderId="36" xfId="0" applyNumberFormat="1" applyFont="1" applyBorder="1" applyAlignment="1">
      <alignment horizontal="center" vertical="center"/>
    </xf>
    <xf numFmtId="194" fontId="8" fillId="0" borderId="53" xfId="0" applyNumberFormat="1" applyFont="1" applyBorder="1" applyAlignment="1">
      <alignment horizontal="center" vertical="center"/>
    </xf>
    <xf numFmtId="194" fontId="8" fillId="0" borderId="41" xfId="0" applyNumberFormat="1" applyFont="1" applyBorder="1" applyAlignment="1">
      <alignment horizontal="center" vertical="center"/>
    </xf>
    <xf numFmtId="194" fontId="8" fillId="0" borderId="36" xfId="0" applyNumberFormat="1" applyFont="1" applyBorder="1" applyAlignment="1">
      <alignment horizontal="center" vertical="center"/>
    </xf>
    <xf numFmtId="183" fontId="8" fillId="0" borderId="27" xfId="0" applyNumberFormat="1" applyFont="1" applyBorder="1" applyAlignment="1">
      <alignment horizontal="center" vertical="center"/>
    </xf>
    <xf numFmtId="187" fontId="8" fillId="0" borderId="62" xfId="0" applyNumberFormat="1" applyFont="1" applyBorder="1" applyAlignment="1">
      <alignment horizontal="center" vertical="center"/>
    </xf>
    <xf numFmtId="187" fontId="8" fillId="0" borderId="42" xfId="0" applyNumberFormat="1" applyFont="1" applyBorder="1" applyAlignment="1">
      <alignment horizontal="center" vertical="center"/>
    </xf>
    <xf numFmtId="187" fontId="8" fillId="0" borderId="34" xfId="0" applyNumberFormat="1" applyFont="1" applyBorder="1" applyAlignment="1">
      <alignment horizontal="center" vertical="center"/>
    </xf>
    <xf numFmtId="182" fontId="8" fillId="0" borderId="92" xfId="0" applyNumberFormat="1" applyFont="1" applyBorder="1" applyAlignment="1">
      <alignment horizontal="center" vertical="center"/>
    </xf>
    <xf numFmtId="2" fontId="8" fillId="0" borderId="86" xfId="0" applyNumberFormat="1" applyFont="1" applyBorder="1" applyAlignment="1">
      <alignment horizontal="center" vertical="center"/>
    </xf>
    <xf numFmtId="181" fontId="8" fillId="0" borderId="3" xfId="1" applyNumberFormat="1" applyFont="1" applyFill="1" applyBorder="1" applyAlignment="1">
      <alignment horizontal="center" vertical="center"/>
    </xf>
    <xf numFmtId="179" fontId="8" fillId="0" borderId="53" xfId="0" applyNumberFormat="1" applyFont="1" applyBorder="1" applyAlignment="1">
      <alignment horizontal="center" vertical="center"/>
    </xf>
    <xf numFmtId="199" fontId="8" fillId="0" borderId="59" xfId="0" applyNumberFormat="1" applyFont="1" applyBorder="1" applyAlignment="1">
      <alignment horizontal="center" vertical="center"/>
    </xf>
    <xf numFmtId="199" fontId="8" fillId="0" borderId="41" xfId="0" applyNumberFormat="1" applyFont="1" applyBorder="1" applyAlignment="1">
      <alignment horizontal="center" vertical="center"/>
    </xf>
    <xf numFmtId="199" fontId="8" fillId="0" borderId="41" xfId="1" applyNumberFormat="1" applyFont="1" applyFill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182" fontId="8" fillId="0" borderId="54" xfId="0" applyNumberFormat="1" applyFont="1" applyBorder="1" applyAlignment="1">
      <alignment horizontal="center" vertical="center"/>
    </xf>
    <xf numFmtId="182" fontId="8" fillId="0" borderId="36" xfId="0" applyNumberFormat="1" applyFont="1" applyBorder="1" applyAlignment="1">
      <alignment horizontal="center" vertical="center"/>
    </xf>
    <xf numFmtId="38" fontId="8" fillId="0" borderId="41" xfId="1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56" fontId="8" fillId="0" borderId="156" xfId="0" applyNumberFormat="1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182" fontId="8" fillId="0" borderId="36" xfId="0" applyNumberFormat="1" applyFont="1" applyBorder="1" applyAlignment="1">
      <alignment horizontal="center" vertical="center"/>
    </xf>
    <xf numFmtId="182" fontId="8" fillId="0" borderId="59" xfId="0" applyNumberFormat="1" applyFont="1" applyBorder="1" applyAlignment="1">
      <alignment horizontal="center" vertical="center"/>
    </xf>
    <xf numFmtId="182" fontId="8" fillId="0" borderId="97" xfId="0" applyNumberFormat="1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182" fontId="8" fillId="0" borderId="63" xfId="0" applyNumberFormat="1" applyFont="1" applyBorder="1" applyAlignment="1">
      <alignment horizontal="center" vertical="center"/>
    </xf>
    <xf numFmtId="182" fontId="8" fillId="0" borderId="54" xfId="0" applyNumberFormat="1" applyFont="1" applyBorder="1" applyAlignment="1">
      <alignment horizontal="center" vertical="center"/>
    </xf>
    <xf numFmtId="2" fontId="8" fillId="0" borderId="27" xfId="0" applyNumberFormat="1" applyFont="1" applyBorder="1" applyAlignment="1">
      <alignment horizontal="center" vertical="center"/>
    </xf>
    <xf numFmtId="2" fontId="8" fillId="0" borderId="97" xfId="0" applyNumberFormat="1" applyFont="1" applyBorder="1" applyAlignment="1">
      <alignment horizontal="center" vertical="center"/>
    </xf>
    <xf numFmtId="2" fontId="8" fillId="0" borderId="63" xfId="0" applyNumberFormat="1" applyFont="1" applyBorder="1" applyAlignment="1">
      <alignment horizontal="center" vertical="center"/>
    </xf>
    <xf numFmtId="2" fontId="8" fillId="0" borderId="54" xfId="0" applyNumberFormat="1" applyFont="1" applyBorder="1" applyAlignment="1">
      <alignment horizontal="center" vertical="center"/>
    </xf>
    <xf numFmtId="182" fontId="8" fillId="0" borderId="36" xfId="0" applyNumberFormat="1" applyFont="1" applyBorder="1" applyAlignment="1">
      <alignment horizontal="center" vertical="center"/>
    </xf>
    <xf numFmtId="187" fontId="8" fillId="0" borderId="3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182" fontId="8" fillId="0" borderId="13" xfId="0" applyNumberFormat="1" applyFont="1" applyBorder="1" applyAlignment="1">
      <alignment horizontal="center" vertical="center"/>
    </xf>
    <xf numFmtId="40" fontId="8" fillId="0" borderId="97" xfId="1" applyNumberFormat="1" applyFont="1" applyFill="1" applyBorder="1" applyAlignment="1">
      <alignment horizontal="center" vertical="center"/>
    </xf>
    <xf numFmtId="40" fontId="8" fillId="0" borderId="27" xfId="1" applyNumberFormat="1" applyFont="1" applyFill="1" applyBorder="1" applyAlignment="1">
      <alignment horizontal="center" vertical="center"/>
    </xf>
    <xf numFmtId="185" fontId="8" fillId="0" borderId="2" xfId="0" applyNumberFormat="1" applyFont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/>
    </xf>
    <xf numFmtId="2" fontId="8" fillId="0" borderId="31" xfId="0" applyNumberFormat="1" applyFont="1" applyBorder="1" applyAlignment="1">
      <alignment horizontal="center" vertical="center"/>
    </xf>
    <xf numFmtId="183" fontId="8" fillId="0" borderId="1" xfId="0" applyNumberFormat="1" applyFont="1" applyBorder="1" applyAlignment="1">
      <alignment horizontal="center" vertical="center"/>
    </xf>
    <xf numFmtId="1" fontId="8" fillId="0" borderId="101" xfId="0" applyNumberFormat="1" applyFont="1" applyBorder="1" applyAlignment="1">
      <alignment horizontal="center" vertical="center"/>
    </xf>
    <xf numFmtId="2" fontId="8" fillId="0" borderId="71" xfId="0" applyNumberFormat="1" applyFont="1" applyBorder="1" applyAlignment="1">
      <alignment horizontal="center" vertical="center"/>
    </xf>
    <xf numFmtId="1" fontId="8" fillId="0" borderId="56" xfId="0" applyNumberFormat="1" applyFont="1" applyBorder="1" applyAlignment="1">
      <alignment horizontal="center" vertical="center"/>
    </xf>
    <xf numFmtId="1" fontId="8" fillId="0" borderId="54" xfId="0" applyNumberFormat="1" applyFont="1" applyBorder="1" applyAlignment="1">
      <alignment horizontal="center" vertical="center"/>
    </xf>
    <xf numFmtId="183" fontId="8" fillId="0" borderId="107" xfId="0" applyNumberFormat="1" applyFont="1" applyBorder="1" applyAlignment="1">
      <alignment horizontal="center" vertical="center"/>
    </xf>
    <xf numFmtId="182" fontId="8" fillId="0" borderId="0" xfId="0" applyNumberFormat="1" applyFont="1" applyBorder="1" applyAlignment="1">
      <alignment horizontal="center" vertical="center"/>
    </xf>
    <xf numFmtId="2" fontId="8" fillId="0" borderId="169" xfId="0" applyNumberFormat="1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182" fontId="8" fillId="0" borderId="54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82" fontId="8" fillId="0" borderId="36" xfId="0" applyNumberFormat="1" applyFont="1" applyBorder="1" applyAlignment="1">
      <alignment horizontal="center" vertical="center"/>
    </xf>
    <xf numFmtId="182" fontId="8" fillId="0" borderId="59" xfId="0" applyNumberFormat="1" applyFont="1" applyBorder="1" applyAlignment="1">
      <alignment horizontal="center" vertical="center"/>
    </xf>
    <xf numFmtId="182" fontId="8" fillId="0" borderId="63" xfId="0" applyNumberFormat="1" applyFont="1" applyBorder="1" applyAlignment="1">
      <alignment horizontal="center" vertical="center"/>
    </xf>
    <xf numFmtId="182" fontId="8" fillId="0" borderId="54" xfId="0" applyNumberFormat="1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2" fontId="8" fillId="0" borderId="27" xfId="0" applyNumberFormat="1" applyFont="1" applyBorder="1" applyAlignment="1">
      <alignment horizontal="center" vertical="center"/>
    </xf>
    <xf numFmtId="2" fontId="8" fillId="0" borderId="97" xfId="0" applyNumberFormat="1" applyFont="1" applyBorder="1" applyAlignment="1">
      <alignment horizontal="center" vertical="center"/>
    </xf>
    <xf numFmtId="192" fontId="8" fillId="0" borderId="3" xfId="0" applyNumberFormat="1" applyFont="1" applyBorder="1" applyAlignment="1">
      <alignment horizontal="center" vertical="center"/>
    </xf>
    <xf numFmtId="180" fontId="8" fillId="0" borderId="34" xfId="0" applyNumberFormat="1" applyFont="1" applyBorder="1" applyAlignment="1">
      <alignment horizontal="center" vertical="center"/>
    </xf>
    <xf numFmtId="0" fontId="8" fillId="0" borderId="83" xfId="0" applyFont="1" applyBorder="1" applyAlignment="1">
      <alignment horizontal="center" vertical="center"/>
    </xf>
    <xf numFmtId="192" fontId="8" fillId="0" borderId="53" xfId="0" applyNumberFormat="1" applyFont="1" applyBorder="1" applyAlignment="1">
      <alignment horizontal="center" vertical="center"/>
    </xf>
    <xf numFmtId="192" fontId="8" fillId="0" borderId="60" xfId="0" applyNumberFormat="1" applyFont="1" applyBorder="1" applyAlignment="1">
      <alignment horizontal="center" vertical="center"/>
    </xf>
    <xf numFmtId="192" fontId="8" fillId="0" borderId="56" xfId="0" applyNumberFormat="1" applyFont="1" applyBorder="1" applyAlignment="1">
      <alignment horizontal="center" vertical="center"/>
    </xf>
    <xf numFmtId="192" fontId="8" fillId="0" borderId="31" xfId="0" applyNumberFormat="1" applyFont="1" applyBorder="1" applyAlignment="1">
      <alignment horizontal="center" vertical="center"/>
    </xf>
    <xf numFmtId="187" fontId="8" fillId="0" borderId="90" xfId="0" applyNumberFormat="1" applyFont="1" applyBorder="1" applyAlignment="1">
      <alignment horizontal="center" vertical="center"/>
    </xf>
    <xf numFmtId="182" fontId="8" fillId="0" borderId="90" xfId="0" applyNumberFormat="1" applyFont="1" applyBorder="1" applyAlignment="1">
      <alignment horizontal="center" vertical="center"/>
    </xf>
    <xf numFmtId="183" fontId="8" fillId="0" borderId="90" xfId="0" applyNumberFormat="1" applyFont="1" applyBorder="1" applyAlignment="1">
      <alignment horizontal="center" vertical="center"/>
    </xf>
    <xf numFmtId="1" fontId="8" fillId="0" borderId="90" xfId="0" applyNumberFormat="1" applyFont="1" applyBorder="1" applyAlignment="1">
      <alignment horizontal="center" vertical="center"/>
    </xf>
    <xf numFmtId="2" fontId="8" fillId="0" borderId="90" xfId="0" applyNumberFormat="1" applyFont="1" applyBorder="1" applyAlignment="1">
      <alignment horizontal="center" vertical="center"/>
    </xf>
    <xf numFmtId="1" fontId="8" fillId="0" borderId="91" xfId="0" applyNumberFormat="1" applyFont="1" applyBorder="1" applyAlignment="1">
      <alignment horizontal="center" vertical="center"/>
    </xf>
    <xf numFmtId="182" fontId="8" fillId="0" borderId="91" xfId="0" applyNumberFormat="1" applyFont="1" applyBorder="1" applyAlignment="1">
      <alignment horizontal="center" vertical="center"/>
    </xf>
    <xf numFmtId="38" fontId="8" fillId="0" borderId="92" xfId="1" applyFont="1" applyFill="1" applyBorder="1" applyAlignment="1">
      <alignment horizontal="center" vertical="center"/>
    </xf>
    <xf numFmtId="38" fontId="8" fillId="0" borderId="86" xfId="1" applyFont="1" applyFill="1" applyBorder="1" applyAlignment="1">
      <alignment horizontal="center" vertical="center"/>
    </xf>
    <xf numFmtId="38" fontId="8" fillId="0" borderId="93" xfId="1" applyFont="1" applyFill="1" applyBorder="1" applyAlignment="1">
      <alignment horizontal="center" vertical="center"/>
    </xf>
    <xf numFmtId="40" fontId="8" fillId="0" borderId="1" xfId="1" applyNumberFormat="1" applyFont="1" applyBorder="1" applyAlignment="1">
      <alignment horizontal="center" vertical="center"/>
    </xf>
    <xf numFmtId="40" fontId="8" fillId="0" borderId="97" xfId="1" applyNumberFormat="1" applyFont="1" applyBorder="1" applyAlignment="1">
      <alignment horizontal="center" vertical="center"/>
    </xf>
    <xf numFmtId="40" fontId="8" fillId="0" borderId="27" xfId="1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193" fontId="8" fillId="0" borderId="3" xfId="1" applyNumberFormat="1" applyFont="1" applyFill="1" applyBorder="1" applyAlignment="1">
      <alignment horizontal="center" vertical="center"/>
    </xf>
    <xf numFmtId="182" fontId="7" fillId="0" borderId="174" xfId="0" applyNumberFormat="1" applyFont="1" applyBorder="1" applyAlignment="1">
      <alignment horizontal="center" vertical="center"/>
    </xf>
    <xf numFmtId="182" fontId="7" fillId="0" borderId="175" xfId="0" applyNumberFormat="1" applyFont="1" applyBorder="1" applyAlignment="1">
      <alignment horizontal="center" vertical="center"/>
    </xf>
    <xf numFmtId="182" fontId="7" fillId="0" borderId="176" xfId="0" applyNumberFormat="1" applyFont="1" applyBorder="1" applyAlignment="1">
      <alignment horizontal="center" vertical="center"/>
    </xf>
    <xf numFmtId="176" fontId="7" fillId="0" borderId="174" xfId="0" applyNumberFormat="1" applyFont="1" applyBorder="1" applyAlignment="1">
      <alignment horizontal="center" vertical="center"/>
    </xf>
    <xf numFmtId="176" fontId="7" fillId="0" borderId="175" xfId="0" applyNumberFormat="1" applyFont="1" applyBorder="1" applyAlignment="1">
      <alignment horizontal="center" vertical="center"/>
    </xf>
    <xf numFmtId="0" fontId="7" fillId="0" borderId="177" xfId="0" applyFont="1" applyBorder="1" applyAlignment="1">
      <alignment horizontal="center" vertical="center"/>
    </xf>
    <xf numFmtId="0" fontId="15" fillId="0" borderId="133" xfId="0" applyFont="1" applyBorder="1" applyAlignment="1">
      <alignment horizontal="center" vertical="center"/>
    </xf>
    <xf numFmtId="0" fontId="15" fillId="0" borderId="82" xfId="0" applyFont="1" applyBorder="1" applyAlignment="1">
      <alignment horizontal="center" vertical="center"/>
    </xf>
    <xf numFmtId="2" fontId="7" fillId="0" borderId="61" xfId="0" applyNumberFormat="1" applyFont="1" applyBorder="1" applyAlignment="1">
      <alignment horizontal="center" vertical="center"/>
    </xf>
    <xf numFmtId="2" fontId="7" fillId="0" borderId="84" xfId="0" applyNumberFormat="1" applyFont="1" applyBorder="1" applyAlignment="1">
      <alignment horizontal="center" vertical="center"/>
    </xf>
    <xf numFmtId="2" fontId="7" fillId="0" borderId="80" xfId="0" applyNumberFormat="1" applyFont="1" applyBorder="1" applyAlignment="1">
      <alignment horizontal="center" vertical="center"/>
    </xf>
    <xf numFmtId="2" fontId="7" fillId="0" borderId="82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140" xfId="0" applyFont="1" applyBorder="1" applyAlignment="1">
      <alignment horizontal="center" vertical="center"/>
    </xf>
    <xf numFmtId="0" fontId="7" fillId="0" borderId="141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182" fontId="7" fillId="0" borderId="170" xfId="0" applyNumberFormat="1" applyFont="1" applyBorder="1" applyAlignment="1">
      <alignment horizontal="center" vertical="center"/>
    </xf>
    <xf numFmtId="182" fontId="7" fillId="0" borderId="171" xfId="0" applyNumberFormat="1" applyFont="1" applyBorder="1" applyAlignment="1">
      <alignment horizontal="center" vertical="center"/>
    </xf>
    <xf numFmtId="182" fontId="7" fillId="0" borderId="172" xfId="0" applyNumberFormat="1" applyFont="1" applyBorder="1" applyAlignment="1">
      <alignment horizontal="center" vertical="center"/>
    </xf>
    <xf numFmtId="182" fontId="7" fillId="0" borderId="144" xfId="0" applyNumberFormat="1" applyFont="1" applyBorder="1" applyAlignment="1">
      <alignment horizontal="center" vertical="center"/>
    </xf>
    <xf numFmtId="182" fontId="7" fillId="0" borderId="145" xfId="0" applyNumberFormat="1" applyFont="1" applyBorder="1" applyAlignment="1">
      <alignment horizontal="center" vertical="center"/>
    </xf>
    <xf numFmtId="182" fontId="10" fillId="0" borderId="146" xfId="0" applyNumberFormat="1" applyFont="1" applyBorder="1" applyAlignment="1">
      <alignment horizontal="center" vertical="center"/>
    </xf>
    <xf numFmtId="182" fontId="10" fillId="0" borderId="32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82" fontId="7" fillId="0" borderId="73" xfId="0" applyNumberFormat="1" applyFont="1" applyBorder="1" applyAlignment="1">
      <alignment horizontal="center" vertical="center"/>
    </xf>
    <xf numFmtId="182" fontId="7" fillId="0" borderId="74" xfId="0" applyNumberFormat="1" applyFont="1" applyBorder="1" applyAlignment="1">
      <alignment horizontal="center" vertical="center"/>
    </xf>
    <xf numFmtId="182" fontId="7" fillId="0" borderId="147" xfId="0" applyNumberFormat="1" applyFont="1" applyBorder="1" applyAlignment="1">
      <alignment horizontal="center" vertical="center"/>
    </xf>
    <xf numFmtId="182" fontId="7" fillId="0" borderId="102" xfId="0" applyNumberFormat="1" applyFont="1" applyBorder="1" applyAlignment="1">
      <alignment horizontal="center" vertical="center"/>
    </xf>
    <xf numFmtId="182" fontId="7" fillId="0" borderId="103" xfId="0" applyNumberFormat="1" applyFont="1" applyBorder="1" applyAlignment="1">
      <alignment horizontal="center" vertical="center"/>
    </xf>
    <xf numFmtId="182" fontId="7" fillId="0" borderId="142" xfId="0" applyNumberFormat="1" applyFont="1" applyBorder="1" applyAlignment="1">
      <alignment horizontal="center" vertical="center"/>
    </xf>
    <xf numFmtId="182" fontId="7" fillId="0" borderId="76" xfId="0" applyNumberFormat="1" applyFont="1" applyBorder="1" applyAlignment="1">
      <alignment horizontal="center" vertical="center"/>
    </xf>
    <xf numFmtId="182" fontId="7" fillId="0" borderId="77" xfId="0" applyNumberFormat="1" applyFont="1" applyBorder="1" applyAlignment="1">
      <alignment horizontal="center" vertical="center"/>
    </xf>
    <xf numFmtId="182" fontId="7" fillId="0" borderId="143" xfId="0" applyNumberFormat="1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140" xfId="0" applyFont="1" applyBorder="1" applyAlignment="1">
      <alignment horizontal="center" vertical="center"/>
    </xf>
    <xf numFmtId="0" fontId="10" fillId="0" borderId="141" xfId="0" applyFont="1" applyBorder="1" applyAlignment="1">
      <alignment horizontal="center" vertical="center"/>
    </xf>
    <xf numFmtId="0" fontId="10" fillId="0" borderId="94" xfId="0" applyFont="1" applyBorder="1" applyAlignment="1">
      <alignment horizontal="center" vertical="center"/>
    </xf>
    <xf numFmtId="0" fontId="10" fillId="0" borderId="15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8" fillId="0" borderId="99" xfId="0" applyFont="1" applyBorder="1" applyAlignment="1">
      <alignment horizontal="center" vertical="center" wrapText="1"/>
    </xf>
    <xf numFmtId="0" fontId="8" fillId="0" borderId="154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8" fillId="0" borderId="135" xfId="0" applyFont="1" applyBorder="1" applyAlignment="1">
      <alignment horizontal="center" vertical="center" wrapText="1"/>
    </xf>
    <xf numFmtId="0" fontId="8" fillId="0" borderId="67" xfId="0" applyFont="1" applyBorder="1" applyAlignment="1">
      <alignment horizontal="center" vertical="center" wrapText="1"/>
    </xf>
    <xf numFmtId="0" fontId="7" fillId="0" borderId="82" xfId="0" applyFont="1" applyBorder="1" applyAlignment="1">
      <alignment horizontal="center"/>
    </xf>
    <xf numFmtId="0" fontId="7" fillId="0" borderId="139" xfId="0" applyFont="1" applyBorder="1" applyAlignment="1">
      <alignment horizontal="center"/>
    </xf>
    <xf numFmtId="56" fontId="13" fillId="0" borderId="155" xfId="0" applyNumberFormat="1" applyFont="1" applyBorder="1" applyAlignment="1">
      <alignment horizontal="center" vertical="center"/>
    </xf>
    <xf numFmtId="56" fontId="13" fillId="0" borderId="71" xfId="0" applyNumberFormat="1" applyFont="1" applyBorder="1" applyAlignment="1">
      <alignment horizontal="center" vertical="center"/>
    </xf>
    <xf numFmtId="56" fontId="13" fillId="0" borderId="62" xfId="0" applyNumberFormat="1" applyFont="1" applyBorder="1" applyAlignment="1">
      <alignment horizontal="center" vertical="center"/>
    </xf>
    <xf numFmtId="56" fontId="13" fillId="0" borderId="156" xfId="0" applyNumberFormat="1" applyFont="1" applyBorder="1" applyAlignment="1">
      <alignment horizontal="center" vertical="center"/>
    </xf>
    <xf numFmtId="56" fontId="13" fillId="0" borderId="56" xfId="0" applyNumberFormat="1" applyFont="1" applyBorder="1" applyAlignment="1">
      <alignment horizontal="center" vertical="center"/>
    </xf>
    <xf numFmtId="56" fontId="13" fillId="0" borderId="42" xfId="0" applyNumberFormat="1" applyFont="1" applyBorder="1" applyAlignment="1">
      <alignment horizontal="center" vertical="center"/>
    </xf>
    <xf numFmtId="56" fontId="13" fillId="0" borderId="16" xfId="0" applyNumberFormat="1" applyFont="1" applyBorder="1" applyAlignment="1">
      <alignment horizontal="center" vertical="center"/>
    </xf>
    <xf numFmtId="56" fontId="13" fillId="0" borderId="57" xfId="0" applyNumberFormat="1" applyFont="1" applyBorder="1" applyAlignment="1">
      <alignment horizontal="center" vertical="center"/>
    </xf>
    <xf numFmtId="56" fontId="13" fillId="0" borderId="2" xfId="0" applyNumberFormat="1" applyFont="1" applyBorder="1" applyAlignment="1">
      <alignment horizontal="center" vertical="center"/>
    </xf>
    <xf numFmtId="0" fontId="8" fillId="0" borderId="152" xfId="0" applyFont="1" applyBorder="1" applyAlignment="1">
      <alignment horizontal="center" vertical="center"/>
    </xf>
    <xf numFmtId="0" fontId="8" fillId="0" borderId="150" xfId="0" applyFont="1" applyBorder="1" applyAlignment="1">
      <alignment horizontal="center" vertical="center"/>
    </xf>
    <xf numFmtId="0" fontId="8" fillId="0" borderId="151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/>
    </xf>
    <xf numFmtId="0" fontId="7" fillId="0" borderId="101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107" xfId="0" applyFont="1" applyBorder="1" applyAlignment="1">
      <alignment horizontal="center"/>
    </xf>
    <xf numFmtId="0" fontId="8" fillId="0" borderId="46" xfId="0" applyFont="1" applyBorder="1" applyAlignment="1">
      <alignment horizontal="center" vertical="center"/>
    </xf>
    <xf numFmtId="0" fontId="8" fillId="0" borderId="140" xfId="0" applyFont="1" applyBorder="1" applyAlignment="1">
      <alignment horizontal="center" vertical="center"/>
    </xf>
    <xf numFmtId="0" fontId="8" fillId="0" borderId="84" xfId="0" applyFont="1" applyBorder="1" applyAlignment="1">
      <alignment horizontal="center" vertical="center"/>
    </xf>
    <xf numFmtId="0" fontId="8" fillId="0" borderId="69" xfId="0" applyFont="1" applyBorder="1" applyAlignment="1">
      <alignment horizontal="center" vertical="center"/>
    </xf>
    <xf numFmtId="0" fontId="8" fillId="0" borderId="139" xfId="0" applyFont="1" applyBorder="1" applyAlignment="1">
      <alignment horizontal="center" vertical="center"/>
    </xf>
    <xf numFmtId="0" fontId="14" fillId="0" borderId="69" xfId="0" applyFont="1" applyBorder="1" applyAlignment="1">
      <alignment horizontal="center" vertical="center"/>
    </xf>
    <xf numFmtId="0" fontId="14" fillId="0" borderId="140" xfId="0" applyFont="1" applyBorder="1" applyAlignment="1">
      <alignment horizontal="center" vertical="center"/>
    </xf>
    <xf numFmtId="0" fontId="14" fillId="0" borderId="139" xfId="0" applyFont="1" applyBorder="1" applyAlignment="1">
      <alignment horizontal="center" vertical="center"/>
    </xf>
    <xf numFmtId="0" fontId="8" fillId="0" borderId="36" xfId="0" applyFont="1" applyBorder="1" applyAlignment="1">
      <alignment horizontal="left" vertical="center"/>
    </xf>
    <xf numFmtId="0" fontId="8" fillId="0" borderId="59" xfId="0" applyFont="1" applyBorder="1" applyAlignment="1">
      <alignment horizontal="left" vertical="center"/>
    </xf>
    <xf numFmtId="0" fontId="8" fillId="0" borderId="4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87" xfId="0" applyFont="1" applyBorder="1" applyAlignment="1">
      <alignment horizontal="center" vertical="center"/>
    </xf>
    <xf numFmtId="0" fontId="8" fillId="0" borderId="36" xfId="0" applyFont="1" applyBorder="1" applyAlignment="1">
      <alignment horizontal="left" vertical="center" wrapText="1"/>
    </xf>
    <xf numFmtId="0" fontId="8" fillId="0" borderId="59" xfId="0" applyFont="1" applyBorder="1" applyAlignment="1">
      <alignment horizontal="left" vertical="center" wrapText="1"/>
    </xf>
    <xf numFmtId="0" fontId="8" fillId="0" borderId="47" xfId="0" applyFont="1" applyBorder="1" applyAlignment="1">
      <alignment horizontal="center" vertical="center"/>
    </xf>
    <xf numFmtId="0" fontId="8" fillId="0" borderId="27" xfId="0" applyFont="1" applyBorder="1" applyAlignment="1">
      <alignment horizontal="left" vertical="center"/>
    </xf>
    <xf numFmtId="0" fontId="8" fillId="0" borderId="97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94" xfId="0" applyFont="1" applyBorder="1" applyAlignment="1">
      <alignment horizontal="center" vertical="center"/>
    </xf>
    <xf numFmtId="0" fontId="8" fillId="0" borderId="148" xfId="0" applyFont="1" applyBorder="1" applyAlignment="1">
      <alignment horizontal="center" vertical="center"/>
    </xf>
    <xf numFmtId="0" fontId="8" fillId="0" borderId="149" xfId="0" applyFont="1" applyBorder="1" applyAlignment="1">
      <alignment horizontal="center" vertical="center"/>
    </xf>
    <xf numFmtId="0" fontId="8" fillId="0" borderId="33" xfId="0" applyFont="1" applyBorder="1" applyAlignment="1">
      <alignment horizontal="left" vertical="center"/>
    </xf>
    <xf numFmtId="0" fontId="8" fillId="0" borderId="85" xfId="0" applyFont="1" applyBorder="1" applyAlignment="1">
      <alignment horizontal="left" vertical="center"/>
    </xf>
    <xf numFmtId="56" fontId="8" fillId="0" borderId="154" xfId="0" applyNumberFormat="1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0" fillId="0" borderId="59" xfId="0" applyBorder="1" applyAlignment="1">
      <alignment horizontal="left" vertical="center"/>
    </xf>
    <xf numFmtId="56" fontId="8" fillId="0" borderId="158" xfId="0" applyNumberFormat="1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3" fillId="0" borderId="140" xfId="0" applyFont="1" applyBorder="1" applyAlignment="1">
      <alignment horizontal="center" vertical="center"/>
    </xf>
    <xf numFmtId="0" fontId="3" fillId="0" borderId="139" xfId="0" applyFont="1" applyBorder="1" applyAlignment="1">
      <alignment horizontal="center" vertical="center"/>
    </xf>
    <xf numFmtId="56" fontId="8" fillId="0" borderId="16" xfId="0" applyNumberFormat="1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0" fillId="0" borderId="157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33" xfId="0" applyFont="1" applyBorder="1" applyAlignment="1">
      <alignment horizontal="center" vertical="center" wrapText="1"/>
    </xf>
    <xf numFmtId="0" fontId="8" fillId="0" borderId="8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7" fillId="0" borderId="80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8" fillId="0" borderId="41" xfId="0" applyFont="1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150" xfId="0" applyBorder="1" applyAlignment="1">
      <alignment horizontal="center" vertical="center"/>
    </xf>
    <xf numFmtId="0" fontId="0" fillId="0" borderId="151" xfId="0" applyBorder="1" applyAlignment="1">
      <alignment horizontal="center" vertical="center"/>
    </xf>
    <xf numFmtId="0" fontId="10" fillId="0" borderId="139" xfId="0" applyFont="1" applyBorder="1" applyAlignment="1">
      <alignment horizontal="center" vertical="center"/>
    </xf>
    <xf numFmtId="0" fontId="8" fillId="0" borderId="141" xfId="0" applyFont="1" applyBorder="1" applyAlignment="1">
      <alignment horizontal="center" vertical="center"/>
    </xf>
    <xf numFmtId="0" fontId="8" fillId="0" borderId="159" xfId="0" applyFont="1" applyBorder="1" applyAlignment="1">
      <alignment horizontal="center" vertical="center"/>
    </xf>
    <xf numFmtId="0" fontId="8" fillId="0" borderId="160" xfId="0" applyFont="1" applyBorder="1" applyAlignment="1">
      <alignment horizontal="center" vertical="center"/>
    </xf>
    <xf numFmtId="0" fontId="8" fillId="0" borderId="161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56" fontId="13" fillId="0" borderId="154" xfId="0" applyNumberFormat="1" applyFont="1" applyBorder="1" applyAlignment="1">
      <alignment horizontal="center" vertical="center"/>
    </xf>
    <xf numFmtId="0" fontId="13" fillId="0" borderId="60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56" fontId="13" fillId="0" borderId="158" xfId="0" applyNumberFormat="1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8" fillId="0" borderId="34" xfId="0" applyFont="1" applyBorder="1" applyAlignment="1">
      <alignment horizontal="left" vertical="center"/>
    </xf>
    <xf numFmtId="0" fontId="8" fillId="0" borderId="58" xfId="0" applyFont="1" applyBorder="1" applyAlignment="1">
      <alignment horizontal="left" vertical="center"/>
    </xf>
    <xf numFmtId="0" fontId="8" fillId="0" borderId="163" xfId="0" applyFont="1" applyBorder="1" applyAlignment="1">
      <alignment horizontal="center" vertical="center"/>
    </xf>
    <xf numFmtId="0" fontId="8" fillId="0" borderId="164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69" xfId="0" applyFont="1" applyBorder="1" applyAlignment="1">
      <alignment horizontal="center" vertical="center"/>
    </xf>
    <xf numFmtId="0" fontId="13" fillId="0" borderId="140" xfId="0" applyFont="1" applyBorder="1" applyAlignment="1">
      <alignment horizontal="center" vertical="center"/>
    </xf>
    <xf numFmtId="0" fontId="13" fillId="0" borderId="139" xfId="0" applyFont="1" applyBorder="1" applyAlignment="1">
      <alignment horizontal="center" vertical="center"/>
    </xf>
    <xf numFmtId="0" fontId="8" fillId="0" borderId="115" xfId="0" applyFont="1" applyBorder="1" applyAlignment="1">
      <alignment horizontal="center" vertical="center"/>
    </xf>
    <xf numFmtId="0" fontId="8" fillId="0" borderId="108" xfId="0" applyFont="1" applyBorder="1" applyAlignment="1">
      <alignment horizontal="center" vertical="center"/>
    </xf>
    <xf numFmtId="0" fontId="8" fillId="0" borderId="79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8" fillId="0" borderId="27" xfId="0" applyFont="1" applyBorder="1" applyAlignment="1">
      <alignment horizontal="left" vertical="center" wrapText="1"/>
    </xf>
    <xf numFmtId="0" fontId="8" fillId="0" borderId="97" xfId="0" applyFont="1" applyBorder="1" applyAlignment="1">
      <alignment horizontal="left" vertical="center" wrapText="1"/>
    </xf>
    <xf numFmtId="0" fontId="8" fillId="0" borderId="41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8" fillId="0" borderId="150" xfId="0" applyFont="1" applyBorder="1" applyAlignment="1">
      <alignment horizontal="center" vertical="center" wrapText="1"/>
    </xf>
    <xf numFmtId="0" fontId="8" fillId="0" borderId="162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56" fontId="8" fillId="0" borderId="155" xfId="0" applyNumberFormat="1" applyFont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13" fillId="0" borderId="62" xfId="0" applyFont="1" applyBorder="1" applyAlignment="1">
      <alignment horizontal="center" vertical="center"/>
    </xf>
    <xf numFmtId="56" fontId="8" fillId="0" borderId="156" xfId="0" applyNumberFormat="1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8" fillId="0" borderId="80" xfId="0" applyFont="1" applyBorder="1" applyAlignment="1">
      <alignment horizontal="center" vertical="center"/>
    </xf>
    <xf numFmtId="0" fontId="8" fillId="0" borderId="82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94" xfId="0" applyFont="1" applyBorder="1" applyAlignment="1">
      <alignment horizontal="center" vertical="center"/>
    </xf>
    <xf numFmtId="0" fontId="3" fillId="0" borderId="153" xfId="0" applyFont="1" applyBorder="1" applyAlignment="1">
      <alignment horizontal="center" vertical="center"/>
    </xf>
    <xf numFmtId="0" fontId="16" fillId="0" borderId="99" xfId="0" applyFont="1" applyBorder="1" applyAlignment="1">
      <alignment horizontal="center" vertical="center" wrapText="1"/>
    </xf>
    <xf numFmtId="0" fontId="16" fillId="0" borderId="55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135" xfId="0" applyFont="1" applyBorder="1" applyAlignment="1">
      <alignment horizontal="center" vertical="center" wrapText="1"/>
    </xf>
    <xf numFmtId="0" fontId="16" fillId="0" borderId="115" xfId="0" applyFont="1" applyBorder="1" applyAlignment="1">
      <alignment horizontal="center" vertical="center" wrapText="1"/>
    </xf>
    <xf numFmtId="188" fontId="8" fillId="0" borderId="69" xfId="0" applyNumberFormat="1" applyFont="1" applyBorder="1" applyAlignment="1">
      <alignment horizontal="center" vertical="center"/>
    </xf>
    <xf numFmtId="188" fontId="8" fillId="0" borderId="140" xfId="0" applyNumberFormat="1" applyFont="1" applyBorder="1" applyAlignment="1">
      <alignment horizontal="center" vertical="center"/>
    </xf>
    <xf numFmtId="188" fontId="8" fillId="0" borderId="82" xfId="0" applyNumberFormat="1" applyFont="1" applyBorder="1" applyAlignment="1">
      <alignment horizontal="center" vertical="center"/>
    </xf>
    <xf numFmtId="188" fontId="8" fillId="0" borderId="84" xfId="0" applyNumberFormat="1" applyFont="1" applyBorder="1" applyAlignment="1">
      <alignment horizontal="center" vertical="center"/>
    </xf>
    <xf numFmtId="188" fontId="8" fillId="0" borderId="141" xfId="0" applyNumberFormat="1" applyFont="1" applyBorder="1" applyAlignment="1">
      <alignment horizontal="center" vertical="center"/>
    </xf>
    <xf numFmtId="182" fontId="8" fillId="0" borderId="113" xfId="0" applyNumberFormat="1" applyFont="1" applyBorder="1" applyAlignment="1">
      <alignment horizontal="center" vertical="center"/>
    </xf>
    <xf numFmtId="182" fontId="8" fillId="0" borderId="166" xfId="0" applyNumberFormat="1" applyFont="1" applyBorder="1" applyAlignment="1">
      <alignment horizontal="center" vertical="center"/>
    </xf>
    <xf numFmtId="182" fontId="8" fillId="0" borderId="36" xfId="0" applyNumberFormat="1" applyFont="1" applyBorder="1" applyAlignment="1">
      <alignment horizontal="center" vertical="center"/>
    </xf>
    <xf numFmtId="182" fontId="8" fillId="0" borderId="59" xfId="0" applyNumberFormat="1" applyFont="1" applyBorder="1" applyAlignment="1">
      <alignment horizontal="center" vertical="center"/>
    </xf>
    <xf numFmtId="182" fontId="8" fillId="0" borderId="167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107" xfId="0" applyFont="1" applyBorder="1" applyAlignment="1">
      <alignment horizontal="center" vertical="center"/>
    </xf>
    <xf numFmtId="182" fontId="8" fillId="0" borderId="63" xfId="0" applyNumberFormat="1" applyFont="1" applyBorder="1" applyAlignment="1">
      <alignment horizontal="center" vertical="center"/>
    </xf>
    <xf numFmtId="182" fontId="8" fillId="0" borderId="54" xfId="0" applyNumberFormat="1" applyFont="1" applyBorder="1" applyAlignment="1">
      <alignment horizontal="center" vertical="center"/>
    </xf>
    <xf numFmtId="182" fontId="8" fillId="0" borderId="27" xfId="0" applyNumberFormat="1" applyFont="1" applyBorder="1" applyAlignment="1">
      <alignment horizontal="center" vertical="center"/>
    </xf>
    <xf numFmtId="182" fontId="8" fillId="0" borderId="97" xfId="0" applyNumberFormat="1" applyFont="1" applyBorder="1" applyAlignment="1">
      <alignment horizontal="center" vertical="center"/>
    </xf>
    <xf numFmtId="189" fontId="8" fillId="0" borderId="65" xfId="0" applyNumberFormat="1" applyFont="1" applyBorder="1" applyAlignment="1">
      <alignment horizontal="center" vertical="center"/>
    </xf>
    <xf numFmtId="189" fontId="8" fillId="0" borderId="72" xfId="0" applyNumberFormat="1" applyFont="1" applyBorder="1" applyAlignment="1">
      <alignment horizontal="center" vertical="center"/>
    </xf>
    <xf numFmtId="189" fontId="8" fillId="0" borderId="36" xfId="0" applyNumberFormat="1" applyFont="1" applyBorder="1" applyAlignment="1">
      <alignment horizontal="center" vertical="center"/>
    </xf>
    <xf numFmtId="189" fontId="8" fillId="0" borderId="59" xfId="0" applyNumberFormat="1" applyFont="1" applyBorder="1" applyAlignment="1">
      <alignment horizontal="center" vertical="center"/>
    </xf>
    <xf numFmtId="189" fontId="8" fillId="0" borderId="98" xfId="0" applyNumberFormat="1" applyFont="1" applyBorder="1" applyAlignment="1">
      <alignment horizontal="center" vertical="center"/>
    </xf>
    <xf numFmtId="20" fontId="8" fillId="0" borderId="65" xfId="0" applyNumberFormat="1" applyFont="1" applyBorder="1" applyAlignment="1">
      <alignment horizontal="center" vertical="center"/>
    </xf>
    <xf numFmtId="20" fontId="8" fillId="0" borderId="72" xfId="0" applyNumberFormat="1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20" fontId="8" fillId="0" borderId="98" xfId="0" applyNumberFormat="1" applyFont="1" applyBorder="1" applyAlignment="1">
      <alignment horizontal="center" vertical="center"/>
    </xf>
    <xf numFmtId="0" fontId="8" fillId="0" borderId="98" xfId="0" applyFont="1" applyBorder="1" applyAlignment="1">
      <alignment horizontal="center" vertical="center"/>
    </xf>
    <xf numFmtId="182" fontId="8" fillId="0" borderId="72" xfId="0" applyNumberFormat="1" applyFont="1" applyBorder="1" applyAlignment="1">
      <alignment horizontal="center" vertical="center"/>
    </xf>
    <xf numFmtId="182" fontId="8" fillId="0" borderId="98" xfId="0" applyNumberFormat="1" applyFont="1" applyBorder="1" applyAlignment="1">
      <alignment horizontal="center" vertical="center"/>
    </xf>
    <xf numFmtId="182" fontId="8" fillId="0" borderId="30" xfId="0" applyNumberFormat="1" applyFont="1" applyBorder="1" applyAlignment="1">
      <alignment horizontal="center" vertical="center"/>
    </xf>
    <xf numFmtId="182" fontId="8" fillId="0" borderId="65" xfId="0" applyNumberFormat="1" applyFont="1" applyBorder="1" applyAlignment="1">
      <alignment horizontal="center" vertical="center"/>
    </xf>
    <xf numFmtId="0" fontId="16" fillId="0" borderId="82" xfId="0" applyFont="1" applyBorder="1" applyAlignment="1">
      <alignment horizontal="center" vertical="center"/>
    </xf>
    <xf numFmtId="0" fontId="16" fillId="0" borderId="84" xfId="0" applyFont="1" applyBorder="1" applyAlignment="1">
      <alignment horizontal="center" vertical="center"/>
    </xf>
    <xf numFmtId="0" fontId="16" fillId="0" borderId="165" xfId="0" quotePrefix="1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 wrapText="1"/>
    </xf>
    <xf numFmtId="0" fontId="16" fillId="0" borderId="140" xfId="0" applyFont="1" applyBorder="1" applyAlignment="1">
      <alignment horizontal="center" vertical="center" wrapText="1"/>
    </xf>
    <xf numFmtId="0" fontId="16" fillId="0" borderId="84" xfId="0" applyFont="1" applyBorder="1" applyAlignment="1">
      <alignment horizontal="center" vertical="center" wrapText="1"/>
    </xf>
    <xf numFmtId="0" fontId="16" fillId="0" borderId="156" xfId="0" applyFont="1" applyBorder="1" applyAlignment="1">
      <alignment horizontal="center" vertical="center"/>
    </xf>
    <xf numFmtId="0" fontId="16" fillId="0" borderId="86" xfId="0" applyFont="1" applyBorder="1" applyAlignment="1">
      <alignment horizontal="center" vertical="center"/>
    </xf>
    <xf numFmtId="0" fontId="16" fillId="0" borderId="69" xfId="0" applyFont="1" applyBorder="1" applyAlignment="1">
      <alignment horizontal="center" vertical="center"/>
    </xf>
    <xf numFmtId="0" fontId="16" fillId="0" borderId="14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94" xfId="0" applyFont="1" applyBorder="1" applyAlignment="1">
      <alignment horizontal="center" vertical="center"/>
    </xf>
    <xf numFmtId="0" fontId="16" fillId="0" borderId="148" xfId="0" applyFont="1" applyBorder="1" applyAlignment="1">
      <alignment horizontal="center" vertical="center"/>
    </xf>
    <xf numFmtId="0" fontId="16" fillId="0" borderId="149" xfId="0" applyFont="1" applyBorder="1" applyAlignment="1">
      <alignment horizontal="center" vertical="center"/>
    </xf>
    <xf numFmtId="0" fontId="16" fillId="0" borderId="114" xfId="0" quotePrefix="1" applyFont="1" applyBorder="1" applyAlignment="1">
      <alignment horizontal="center" vertical="center"/>
    </xf>
    <xf numFmtId="0" fontId="16" fillId="0" borderId="153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 wrapText="1"/>
    </xf>
    <xf numFmtId="0" fontId="16" fillId="0" borderId="97" xfId="0" applyFont="1" applyBorder="1" applyAlignment="1">
      <alignment horizontal="center" vertical="center" wrapText="1"/>
    </xf>
    <xf numFmtId="0" fontId="22" fillId="0" borderId="33" xfId="2" applyFont="1" applyBorder="1" applyAlignment="1">
      <alignment horizontal="left" vertical="center" wrapText="1"/>
    </xf>
    <xf numFmtId="0" fontId="22" fillId="0" borderId="85" xfId="2" applyFont="1" applyBorder="1" applyAlignment="1">
      <alignment horizontal="left" vertical="center" wrapText="1"/>
    </xf>
    <xf numFmtId="0" fontId="8" fillId="0" borderId="165" xfId="0" applyFont="1" applyBorder="1" applyAlignment="1">
      <alignment horizontal="center" vertical="center"/>
    </xf>
    <xf numFmtId="0" fontId="8" fillId="0" borderId="153" xfId="0" applyFont="1" applyBorder="1" applyAlignment="1">
      <alignment horizontal="center" vertical="center"/>
    </xf>
    <xf numFmtId="0" fontId="13" fillId="0" borderId="150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 wrapText="1"/>
    </xf>
    <xf numFmtId="0" fontId="8" fillId="0" borderId="54" xfId="0" applyFont="1" applyBorder="1" applyAlignment="1">
      <alignment horizontal="center" vertical="center" wrapText="1"/>
    </xf>
    <xf numFmtId="0" fontId="13" fillId="0" borderId="71" xfId="0" applyFont="1" applyBorder="1" applyAlignment="1">
      <alignment horizontal="center" vertical="center"/>
    </xf>
    <xf numFmtId="0" fontId="8" fillId="0" borderId="31" xfId="0" applyFont="1" applyBorder="1" applyAlignment="1">
      <alignment horizontal="left" vertical="center"/>
    </xf>
    <xf numFmtId="0" fontId="8" fillId="0" borderId="60" xfId="0" applyFont="1" applyBorder="1" applyAlignment="1">
      <alignment horizontal="left" vertical="center"/>
    </xf>
    <xf numFmtId="0" fontId="8" fillId="0" borderId="36" xfId="0" applyFont="1" applyBorder="1" applyAlignment="1">
      <alignment horizontal="left" vertical="center" shrinkToFit="1"/>
    </xf>
    <xf numFmtId="0" fontId="8" fillId="0" borderId="59" xfId="0" applyFont="1" applyBorder="1" applyAlignment="1">
      <alignment horizontal="left" vertical="center" shrinkToFit="1"/>
    </xf>
    <xf numFmtId="0" fontId="8" fillId="0" borderId="100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2" fontId="8" fillId="0" borderId="63" xfId="0" applyNumberFormat="1" applyFont="1" applyBorder="1" applyAlignment="1">
      <alignment horizontal="center" vertical="center"/>
    </xf>
    <xf numFmtId="2" fontId="8" fillId="0" borderId="54" xfId="0" applyNumberFormat="1" applyFont="1" applyBorder="1" applyAlignment="1">
      <alignment horizontal="center" vertical="center"/>
    </xf>
    <xf numFmtId="2" fontId="8" fillId="0" borderId="27" xfId="0" applyNumberFormat="1" applyFont="1" applyBorder="1" applyAlignment="1">
      <alignment horizontal="center" vertical="center"/>
    </xf>
    <xf numFmtId="2" fontId="8" fillId="0" borderId="97" xfId="0" applyNumberFormat="1" applyFont="1" applyBorder="1" applyAlignment="1">
      <alignment horizontal="center" vertical="center"/>
    </xf>
    <xf numFmtId="2" fontId="8" fillId="0" borderId="30" xfId="0" applyNumberFormat="1" applyFont="1" applyBorder="1" applyAlignment="1">
      <alignment horizontal="center" vertical="center"/>
    </xf>
    <xf numFmtId="2" fontId="8" fillId="0" borderId="65" xfId="0" applyNumberFormat="1" applyFont="1" applyBorder="1" applyAlignment="1">
      <alignment horizontal="center" vertical="center"/>
    </xf>
    <xf numFmtId="2" fontId="8" fillId="0" borderId="72" xfId="0" applyNumberFormat="1" applyFont="1" applyBorder="1" applyAlignment="1">
      <alignment horizontal="center" vertical="center"/>
    </xf>
    <xf numFmtId="0" fontId="16" fillId="0" borderId="153" xfId="0" quotePrefix="1" applyFont="1" applyBorder="1" applyAlignment="1">
      <alignment horizontal="center" vertical="center"/>
    </xf>
    <xf numFmtId="0" fontId="16" fillId="0" borderId="140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79" xfId="0" applyFont="1" applyBorder="1" applyAlignment="1">
      <alignment horizontal="center" vertical="center"/>
    </xf>
    <xf numFmtId="0" fontId="13" fillId="0" borderId="70" xfId="0" applyFont="1" applyBorder="1" applyAlignment="1">
      <alignment horizontal="center" vertical="center"/>
    </xf>
    <xf numFmtId="0" fontId="13" fillId="0" borderId="79" xfId="0" applyFont="1" applyBorder="1" applyAlignment="1">
      <alignment horizontal="center" vertical="center"/>
    </xf>
    <xf numFmtId="0" fontId="13" fillId="0" borderId="168" xfId="0" applyFont="1" applyBorder="1" applyAlignment="1">
      <alignment horizontal="center" vertical="center"/>
    </xf>
    <xf numFmtId="0" fontId="29" fillId="0" borderId="0" xfId="5" applyFont="1" applyAlignment="1">
      <alignment vertical="center"/>
    </xf>
    <xf numFmtId="0" fontId="29" fillId="0" borderId="0" xfId="5" applyFont="1"/>
    <xf numFmtId="0" fontId="29" fillId="0" borderId="0" xfId="5" applyFont="1" applyAlignment="1">
      <alignment horizontal="center"/>
    </xf>
    <xf numFmtId="0" fontId="30" fillId="0" borderId="0" xfId="5" applyFont="1" applyAlignment="1">
      <alignment horizontal="center"/>
    </xf>
    <xf numFmtId="9" fontId="31" fillId="0" borderId="0" xfId="4" applyFont="1" applyAlignment="1">
      <alignment horizontal="center"/>
    </xf>
    <xf numFmtId="9" fontId="29" fillId="0" borderId="0" xfId="4" applyFont="1" applyAlignment="1">
      <alignment horizontal="center"/>
    </xf>
    <xf numFmtId="0" fontId="29" fillId="0" borderId="157" xfId="5" applyFont="1" applyBorder="1" applyAlignment="1">
      <alignment horizontal="center" vertical="center"/>
    </xf>
    <xf numFmtId="0" fontId="29" fillId="0" borderId="52" xfId="5" applyFont="1" applyBorder="1" applyAlignment="1">
      <alignment horizontal="center" vertical="center"/>
    </xf>
    <xf numFmtId="0" fontId="29" fillId="0" borderId="52" xfId="5" applyFont="1" applyBorder="1" applyAlignment="1">
      <alignment horizontal="center" vertical="center"/>
    </xf>
    <xf numFmtId="0" fontId="29" fillId="0" borderId="15" xfId="5" applyFont="1" applyBorder="1" applyAlignment="1">
      <alignment horizontal="center" vertical="center"/>
    </xf>
    <xf numFmtId="0" fontId="29" fillId="0" borderId="181" xfId="5" applyFont="1" applyBorder="1" applyAlignment="1">
      <alignment horizontal="center" vertical="center" textRotation="255"/>
    </xf>
    <xf numFmtId="0" fontId="29" fillId="0" borderId="156" xfId="5" applyFont="1" applyBorder="1" applyAlignment="1">
      <alignment horizontal="center" vertical="center" textRotation="255"/>
    </xf>
    <xf numFmtId="0" fontId="10" fillId="0" borderId="56" xfId="6" applyFont="1" applyBorder="1" applyAlignment="1">
      <alignment horizontal="center" vertical="center"/>
    </xf>
    <xf numFmtId="0" fontId="10" fillId="0" borderId="182" xfId="6" applyFont="1" applyBorder="1" applyAlignment="1">
      <alignment horizontal="center" vertical="center"/>
    </xf>
    <xf numFmtId="0" fontId="29" fillId="0" borderId="56" xfId="5" applyFont="1" applyBorder="1" applyAlignment="1">
      <alignment horizontal="center" vertical="center"/>
    </xf>
    <xf numFmtId="0" fontId="10" fillId="0" borderId="183" xfId="6" applyFont="1" applyBorder="1" applyAlignment="1">
      <alignment horizontal="center" vertical="center"/>
    </xf>
    <xf numFmtId="0" fontId="10" fillId="0" borderId="184" xfId="6" applyFont="1" applyBorder="1" applyAlignment="1">
      <alignment horizontal="center" vertical="center"/>
    </xf>
    <xf numFmtId="0" fontId="29" fillId="0" borderId="163" xfId="5" applyFont="1" applyBorder="1" applyAlignment="1">
      <alignment horizontal="center" vertical="center"/>
    </xf>
    <xf numFmtId="0" fontId="29" fillId="0" borderId="12" xfId="5" applyFont="1" applyBorder="1" applyAlignment="1">
      <alignment horizontal="center" vertical="center" textRotation="255"/>
    </xf>
    <xf numFmtId="0" fontId="29" fillId="0" borderId="56" xfId="5" applyFont="1" applyBorder="1" applyAlignment="1">
      <alignment horizontal="center" vertical="center" textRotation="255"/>
    </xf>
    <xf numFmtId="0" fontId="1" fillId="0" borderId="56" xfId="6" applyFont="1" applyBorder="1" applyAlignment="1">
      <alignment horizontal="center" vertical="center"/>
    </xf>
    <xf numFmtId="0" fontId="29" fillId="0" borderId="185" xfId="5" applyFont="1" applyBorder="1" applyAlignment="1">
      <alignment horizontal="center" vertical="center"/>
    </xf>
    <xf numFmtId="0" fontId="10" fillId="0" borderId="42" xfId="6" applyFont="1" applyBorder="1" applyAlignment="1">
      <alignment horizontal="center" vertical="center"/>
    </xf>
    <xf numFmtId="0" fontId="10" fillId="0" borderId="185" xfId="6" applyFont="1" applyBorder="1" applyAlignment="1">
      <alignment horizontal="center" vertical="center"/>
    </xf>
    <xf numFmtId="0" fontId="10" fillId="0" borderId="186" xfId="6" applyFont="1" applyBorder="1" applyAlignment="1">
      <alignment horizontal="center" vertical="center"/>
    </xf>
    <xf numFmtId="0" fontId="29" fillId="0" borderId="187" xfId="5" applyFont="1" applyBorder="1" applyAlignment="1">
      <alignment horizontal="center" vertical="center"/>
    </xf>
    <xf numFmtId="0" fontId="29" fillId="0" borderId="81" xfId="5" applyFont="1" applyBorder="1" applyAlignment="1">
      <alignment horizontal="center" vertical="center" wrapText="1"/>
    </xf>
    <xf numFmtId="0" fontId="29" fillId="0" borderId="188" xfId="5" applyFont="1" applyBorder="1" applyAlignment="1">
      <alignment horizontal="center" vertical="center"/>
    </xf>
    <xf numFmtId="0" fontId="29" fillId="0" borderId="81" xfId="5" applyFont="1" applyBorder="1" applyAlignment="1">
      <alignment horizontal="center" vertical="center"/>
    </xf>
    <xf numFmtId="0" fontId="10" fillId="0" borderId="54" xfId="6" applyFont="1" applyBorder="1" applyAlignment="1">
      <alignment horizontal="center" vertical="center"/>
    </xf>
    <xf numFmtId="0" fontId="10" fillId="0" borderId="86" xfId="6" applyFont="1" applyBorder="1" applyAlignment="1">
      <alignment horizontal="center" vertical="center"/>
    </xf>
    <xf numFmtId="0" fontId="10" fillId="0" borderId="0" xfId="6" applyFont="1" applyBorder="1" applyAlignment="1">
      <alignment horizontal="center" vertical="center"/>
    </xf>
    <xf numFmtId="0" fontId="29" fillId="0" borderId="178" xfId="5" applyFont="1" applyBorder="1" applyAlignment="1">
      <alignment horizontal="center" vertical="center"/>
    </xf>
    <xf numFmtId="0" fontId="29" fillId="0" borderId="179" xfId="5" applyFont="1" applyBorder="1" applyAlignment="1">
      <alignment horizontal="center" vertical="center" textRotation="255"/>
    </xf>
    <xf numFmtId="0" fontId="29" fillId="0" borderId="156" xfId="5" applyFont="1" applyBorder="1" applyAlignment="1">
      <alignment horizontal="center" vertical="center" wrapText="1"/>
    </xf>
    <xf numFmtId="0" fontId="29" fillId="0" borderId="189" xfId="7" applyFont="1" applyBorder="1" applyAlignment="1">
      <alignment horizontal="center" vertical="center"/>
    </xf>
    <xf numFmtId="0" fontId="29" fillId="0" borderId="189" xfId="5" applyFont="1" applyBorder="1" applyAlignment="1">
      <alignment horizontal="center" vertical="center"/>
    </xf>
    <xf numFmtId="0" fontId="29" fillId="0" borderId="190" xfId="5" applyFont="1" applyBorder="1" applyAlignment="1">
      <alignment horizontal="center" vertical="center"/>
    </xf>
    <xf numFmtId="0" fontId="29" fillId="0" borderId="42" xfId="5" applyFont="1" applyBorder="1" applyAlignment="1">
      <alignment horizontal="center" vertical="center" textRotation="255"/>
    </xf>
    <xf numFmtId="0" fontId="29" fillId="0" borderId="56" xfId="5" applyFont="1" applyBorder="1" applyAlignment="1">
      <alignment horizontal="center" vertical="center"/>
    </xf>
    <xf numFmtId="0" fontId="29" fillId="0" borderId="191" xfId="7" applyFont="1" applyBorder="1" applyAlignment="1">
      <alignment horizontal="center" vertical="center" wrapText="1"/>
    </xf>
    <xf numFmtId="0" fontId="29" fillId="0" borderId="182" xfId="5" applyFont="1" applyBorder="1" applyAlignment="1">
      <alignment horizontal="center" vertical="center"/>
    </xf>
    <xf numFmtId="0" fontId="29" fillId="0" borderId="192" xfId="5" applyFont="1" applyBorder="1" applyAlignment="1">
      <alignment horizontal="center" vertical="center"/>
    </xf>
    <xf numFmtId="0" fontId="29" fillId="0" borderId="182" xfId="7" applyFont="1" applyBorder="1" applyAlignment="1">
      <alignment horizontal="center" vertical="center"/>
    </xf>
    <xf numFmtId="0" fontId="29" fillId="0" borderId="81" xfId="5" applyFont="1" applyBorder="1" applyAlignment="1">
      <alignment horizontal="center" vertical="center" textRotation="255"/>
    </xf>
    <xf numFmtId="0" fontId="29" fillId="0" borderId="191" xfId="5" applyFont="1" applyBorder="1" applyAlignment="1">
      <alignment horizontal="center" vertical="center"/>
    </xf>
    <xf numFmtId="0" fontId="29" fillId="0" borderId="86" xfId="5" applyFont="1" applyBorder="1" applyAlignment="1">
      <alignment horizontal="center" vertical="center" textRotation="255"/>
    </xf>
    <xf numFmtId="0" fontId="29" fillId="0" borderId="191" xfId="7" applyFont="1" applyBorder="1" applyAlignment="1">
      <alignment horizontal="center" vertical="center"/>
    </xf>
    <xf numFmtId="0" fontId="29" fillId="0" borderId="193" xfId="5" applyFont="1" applyBorder="1" applyAlignment="1">
      <alignment horizontal="center" vertical="center"/>
    </xf>
    <xf numFmtId="0" fontId="29" fillId="0" borderId="156" xfId="5" applyFont="1" applyBorder="1" applyAlignment="1">
      <alignment horizontal="center" vertical="center"/>
    </xf>
    <xf numFmtId="0" fontId="29" fillId="0" borderId="189" xfId="7" applyFont="1" applyBorder="1" applyAlignment="1">
      <alignment horizontal="center" vertical="center" wrapText="1"/>
    </xf>
    <xf numFmtId="0" fontId="29" fillId="0" borderId="56" xfId="7" applyFont="1" applyBorder="1" applyAlignment="1">
      <alignment horizontal="center" vertical="center" wrapText="1"/>
    </xf>
    <xf numFmtId="0" fontId="33" fillId="0" borderId="42" xfId="5" applyFont="1" applyBorder="1" applyAlignment="1">
      <alignment horizontal="center" vertical="center"/>
    </xf>
    <xf numFmtId="0" fontId="29" fillId="0" borderId="185" xfId="7" applyFont="1" applyBorder="1" applyAlignment="1">
      <alignment horizontal="center" vertical="center" wrapText="1"/>
    </xf>
    <xf numFmtId="0" fontId="29" fillId="0" borderId="194" xfId="5" applyFont="1" applyBorder="1" applyAlignment="1">
      <alignment horizontal="center" vertical="center"/>
    </xf>
    <xf numFmtId="0" fontId="33" fillId="0" borderId="86" xfId="5" applyFont="1" applyBorder="1" applyAlignment="1">
      <alignment horizontal="center" vertical="center" textRotation="255"/>
    </xf>
    <xf numFmtId="0" fontId="33" fillId="0" borderId="86" xfId="5" applyFont="1" applyBorder="1" applyAlignment="1">
      <alignment horizontal="center" vertical="center"/>
    </xf>
    <xf numFmtId="0" fontId="29" fillId="0" borderId="195" xfId="7" applyFont="1" applyBorder="1" applyAlignment="1">
      <alignment horizontal="center" vertical="center" wrapText="1"/>
    </xf>
    <xf numFmtId="0" fontId="29" fillId="0" borderId="195" xfId="5" applyFont="1" applyBorder="1" applyAlignment="1">
      <alignment horizontal="center" vertical="center"/>
    </xf>
    <xf numFmtId="0" fontId="29" fillId="0" borderId="196" xfId="5" applyFont="1" applyBorder="1" applyAlignment="1">
      <alignment horizontal="center" vertical="center"/>
    </xf>
    <xf numFmtId="0" fontId="29" fillId="0" borderId="41" xfId="5" applyFont="1" applyBorder="1" applyAlignment="1">
      <alignment horizontal="center" vertical="center" textRotation="255"/>
    </xf>
    <xf numFmtId="0" fontId="29" fillId="0" borderId="54" xfId="5" applyFont="1" applyBorder="1" applyAlignment="1">
      <alignment horizontal="center" vertical="center" textRotation="255"/>
    </xf>
    <xf numFmtId="0" fontId="29" fillId="0" borderId="86" xfId="5" applyFont="1" applyBorder="1" applyAlignment="1">
      <alignment horizontal="center" vertical="center"/>
    </xf>
    <xf numFmtId="0" fontId="29" fillId="0" borderId="195" xfId="7" applyFont="1" applyBorder="1" applyAlignment="1">
      <alignment horizontal="center" vertical="center"/>
    </xf>
    <xf numFmtId="0" fontId="29" fillId="0" borderId="42" xfId="5" applyFont="1" applyBorder="1" applyAlignment="1">
      <alignment horizontal="center" vertical="center"/>
    </xf>
    <xf numFmtId="0" fontId="29" fillId="0" borderId="42" xfId="7" applyFont="1" applyBorder="1" applyAlignment="1">
      <alignment horizontal="center" vertical="center"/>
    </xf>
    <xf numFmtId="0" fontId="29" fillId="0" borderId="0" xfId="5" applyFont="1" applyBorder="1" applyAlignment="1">
      <alignment vertical="center"/>
    </xf>
    <xf numFmtId="0" fontId="29" fillId="0" borderId="81" xfId="5" applyFont="1" applyBorder="1" applyAlignment="1">
      <alignment horizontal="center" vertical="center"/>
    </xf>
    <xf numFmtId="0" fontId="29" fillId="0" borderId="188" xfId="7" applyFont="1" applyBorder="1" applyAlignment="1">
      <alignment horizontal="center" vertical="center"/>
    </xf>
    <xf numFmtId="0" fontId="29" fillId="0" borderId="191" xfId="7" applyFont="1" applyBorder="1" applyAlignment="1">
      <alignment horizontal="center" vertical="center" wrapText="1" shrinkToFit="1"/>
    </xf>
    <xf numFmtId="0" fontId="29" fillId="0" borderId="12" xfId="5" applyFont="1" applyBorder="1" applyAlignment="1">
      <alignment horizontal="center" vertical="center" textRotation="255"/>
    </xf>
    <xf numFmtId="0" fontId="29" fillId="0" borderId="56" xfId="5" applyFont="1" applyBorder="1" applyAlignment="1">
      <alignment horizontal="center" vertical="center" textRotation="255"/>
    </xf>
    <xf numFmtId="0" fontId="29" fillId="0" borderId="19" xfId="5" applyFont="1" applyBorder="1" applyAlignment="1">
      <alignment horizontal="center" vertical="center"/>
    </xf>
    <xf numFmtId="0" fontId="29" fillId="0" borderId="180" xfId="5" applyFont="1" applyBorder="1" applyAlignment="1">
      <alignment horizontal="center" vertical="center"/>
    </xf>
    <xf numFmtId="0" fontId="29" fillId="0" borderId="84" xfId="5" applyFont="1" applyBorder="1" applyAlignment="1">
      <alignment horizontal="center" vertical="center"/>
    </xf>
    <xf numFmtId="0" fontId="29" fillId="0" borderId="42" xfId="5" applyFont="1" applyBorder="1" applyAlignment="1">
      <alignment horizontal="center" vertical="center"/>
    </xf>
    <xf numFmtId="0" fontId="29" fillId="0" borderId="91" xfId="5" applyFont="1" applyBorder="1" applyAlignment="1">
      <alignment horizontal="center" vertical="center"/>
    </xf>
    <xf numFmtId="0" fontId="29" fillId="0" borderId="8" xfId="5" applyFont="1" applyBorder="1" applyAlignment="1">
      <alignment horizontal="center" vertical="center"/>
    </xf>
    <xf numFmtId="0" fontId="29" fillId="0" borderId="41" xfId="5" applyFont="1" applyBorder="1" applyAlignment="1">
      <alignment horizontal="center" vertical="center"/>
    </xf>
    <xf numFmtId="0" fontId="29" fillId="0" borderId="36" xfId="5" applyFont="1" applyBorder="1" applyAlignment="1">
      <alignment horizontal="center" vertical="center"/>
    </xf>
    <xf numFmtId="0" fontId="29" fillId="0" borderId="59" xfId="5" applyFont="1" applyBorder="1" applyAlignment="1">
      <alignment horizontal="center" vertical="center"/>
    </xf>
    <xf numFmtId="0" fontId="29" fillId="0" borderId="41" xfId="5" applyFont="1" applyBorder="1" applyAlignment="1">
      <alignment horizontal="center" vertical="center"/>
    </xf>
    <xf numFmtId="0" fontId="29" fillId="0" borderId="90" xfId="5" applyFont="1" applyBorder="1" applyAlignment="1">
      <alignment horizontal="center" vertical="center"/>
    </xf>
    <xf numFmtId="0" fontId="29" fillId="0" borderId="26" xfId="5" applyFont="1" applyBorder="1" applyAlignment="1">
      <alignment horizontal="center" vertical="center"/>
    </xf>
    <xf numFmtId="0" fontId="29" fillId="0" borderId="54" xfId="5" applyFont="1" applyBorder="1" applyAlignment="1">
      <alignment horizontal="center" vertical="center"/>
    </xf>
    <xf numFmtId="0" fontId="29" fillId="0" borderId="27" xfId="5" applyFont="1" applyBorder="1" applyAlignment="1">
      <alignment horizontal="center" vertical="center"/>
    </xf>
    <xf numFmtId="0" fontId="29" fillId="0" borderId="97" xfId="5" applyFont="1" applyBorder="1" applyAlignment="1">
      <alignment horizontal="center" vertical="center"/>
    </xf>
    <xf numFmtId="0" fontId="29" fillId="0" borderId="54" xfId="5" applyFont="1" applyBorder="1" applyAlignment="1">
      <alignment horizontal="center" vertical="center"/>
    </xf>
    <xf numFmtId="0" fontId="29" fillId="0" borderId="93" xfId="5" applyFont="1" applyBorder="1" applyAlignment="1">
      <alignment horizontal="center" vertical="center"/>
    </xf>
    <xf numFmtId="0" fontId="29" fillId="0" borderId="0" xfId="5" applyFont="1" applyAlignment="1">
      <alignment horizontal="center" vertical="center"/>
    </xf>
    <xf numFmtId="0" fontId="34" fillId="0" borderId="0" xfId="5" applyFont="1" applyAlignment="1">
      <alignment vertical="center"/>
    </xf>
    <xf numFmtId="0" fontId="34" fillId="0" borderId="0" xfId="5" applyFont="1" applyAlignment="1">
      <alignment horizontal="center" vertical="center"/>
    </xf>
    <xf numFmtId="0" fontId="10" fillId="0" borderId="0" xfId="6" applyFont="1" applyAlignment="1"/>
    <xf numFmtId="0" fontId="29" fillId="0" borderId="0" xfId="5" applyFont="1" applyAlignment="1">
      <alignment horizontal="left" vertical="center"/>
    </xf>
  </cellXfs>
  <cellStyles count="8">
    <cellStyle name="パーセント" xfId="4" builtinId="5"/>
    <cellStyle name="桁区切り" xfId="1" builtinId="6"/>
    <cellStyle name="標準" xfId="0" builtinId="0"/>
    <cellStyle name="標準 2" xfId="3" xr:uid="{00000000-0005-0000-0000-000031000000}"/>
    <cellStyle name="標準 3" xfId="6" xr:uid="{09B6468A-5C0F-482A-8103-3F4E926AA710}"/>
    <cellStyle name="標準_090917 予算用見積結果集約" xfId="7" xr:uid="{5F6F99D1-8847-4B51-AFA2-70BDA35010B4}"/>
    <cellStyle name="標準_090924 H22水質検査業務委託基本パターン" xfId="5" xr:uid="{09EFE8A6-BDE4-4141-A145-5315CA26EFF5}"/>
    <cellStyle name="標準_対象農薬リスト１０１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6828C-15A7-4C20-8D3E-BD7A7B2BA82E}">
  <sheetPr>
    <pageSetUpPr fitToPage="1"/>
  </sheetPr>
  <dimension ref="B1:AI83"/>
  <sheetViews>
    <sheetView tabSelected="1" zoomScale="70" zoomScaleNormal="70" zoomScaleSheetLayoutView="70" workbookViewId="0"/>
  </sheetViews>
  <sheetFormatPr defaultRowHeight="13.5" x14ac:dyDescent="0.15"/>
  <cols>
    <col min="1" max="1" width="6.625" style="774" customWidth="1"/>
    <col min="2" max="2" width="4.25" style="774" customWidth="1"/>
    <col min="3" max="3" width="6.25" style="774" customWidth="1"/>
    <col min="4" max="4" width="17.25" style="775" customWidth="1"/>
    <col min="5" max="5" width="42" style="774" bestFit="1" customWidth="1"/>
    <col min="6" max="17" width="6.125" style="774" customWidth="1"/>
    <col min="18" max="18" width="5.625" style="773" customWidth="1"/>
    <col min="19" max="35" width="9" style="773"/>
    <col min="36" max="16384" width="9" style="774"/>
  </cols>
  <sheetData>
    <row r="1" spans="2:18" s="773" customFormat="1" ht="22.5" customHeight="1" x14ac:dyDescent="0.2">
      <c r="B1" s="774"/>
      <c r="C1" s="774"/>
      <c r="D1" s="776"/>
      <c r="E1" s="774"/>
      <c r="F1" s="774"/>
      <c r="G1" s="774"/>
      <c r="H1" s="774"/>
      <c r="I1" s="774"/>
      <c r="J1" s="774"/>
      <c r="K1" s="774"/>
      <c r="L1" s="774"/>
      <c r="M1" s="774"/>
      <c r="N1" s="774"/>
      <c r="O1" s="774"/>
      <c r="P1" s="774"/>
      <c r="Q1" s="774"/>
    </row>
    <row r="2" spans="2:18" s="773" customFormat="1" ht="18.75" x14ac:dyDescent="0.2">
      <c r="B2" s="777" t="s">
        <v>616</v>
      </c>
      <c r="C2" s="778"/>
      <c r="D2" s="778"/>
      <c r="E2" s="778"/>
      <c r="F2" s="778"/>
      <c r="G2" s="778"/>
      <c r="H2" s="778"/>
      <c r="I2" s="778"/>
      <c r="J2" s="778"/>
      <c r="K2" s="778"/>
      <c r="L2" s="778"/>
      <c r="M2" s="778"/>
      <c r="N2" s="778"/>
      <c r="O2" s="778"/>
      <c r="P2" s="778"/>
      <c r="Q2" s="778"/>
    </row>
    <row r="3" spans="2:18" s="773" customFormat="1" ht="21.95" customHeight="1" thickBot="1" x14ac:dyDescent="0.2">
      <c r="B3" s="774"/>
      <c r="C3" s="774"/>
      <c r="D3" s="775"/>
      <c r="E3" s="774"/>
      <c r="F3" s="774"/>
      <c r="G3" s="774"/>
      <c r="H3" s="774"/>
      <c r="I3" s="774"/>
      <c r="J3" s="774"/>
      <c r="K3" s="774"/>
      <c r="L3" s="774"/>
      <c r="M3" s="774"/>
      <c r="N3" s="774"/>
      <c r="O3" s="774"/>
      <c r="P3" s="774"/>
      <c r="Q3" s="774"/>
    </row>
    <row r="4" spans="2:18" s="773" customFormat="1" ht="21.95" customHeight="1" thickBot="1" x14ac:dyDescent="0.2">
      <c r="B4" s="779" t="s">
        <v>617</v>
      </c>
      <c r="C4" s="780"/>
      <c r="D4" s="781" t="s">
        <v>618</v>
      </c>
      <c r="E4" s="781" t="s">
        <v>619</v>
      </c>
      <c r="F4" s="781" t="s">
        <v>620</v>
      </c>
      <c r="G4" s="781" t="s">
        <v>621</v>
      </c>
      <c r="H4" s="781" t="s">
        <v>622</v>
      </c>
      <c r="I4" s="781" t="s">
        <v>623</v>
      </c>
      <c r="J4" s="781" t="s">
        <v>624</v>
      </c>
      <c r="K4" s="781" t="s">
        <v>625</v>
      </c>
      <c r="L4" s="781" t="s">
        <v>626</v>
      </c>
      <c r="M4" s="781" t="s">
        <v>627</v>
      </c>
      <c r="N4" s="781" t="s">
        <v>628</v>
      </c>
      <c r="O4" s="781" t="s">
        <v>629</v>
      </c>
      <c r="P4" s="781" t="s">
        <v>630</v>
      </c>
      <c r="Q4" s="782" t="s">
        <v>631</v>
      </c>
    </row>
    <row r="5" spans="2:18" s="773" customFormat="1" ht="21.95" customHeight="1" x14ac:dyDescent="0.15">
      <c r="B5" s="783" t="s">
        <v>632</v>
      </c>
      <c r="C5" s="784" t="s">
        <v>633</v>
      </c>
      <c r="D5" s="785" t="s">
        <v>634</v>
      </c>
      <c r="E5" s="786" t="s">
        <v>635</v>
      </c>
      <c r="F5" s="787"/>
      <c r="G5" s="786" t="s">
        <v>636</v>
      </c>
      <c r="H5" s="788" t="s">
        <v>636</v>
      </c>
      <c r="I5" s="786" t="s">
        <v>636</v>
      </c>
      <c r="J5" s="789" t="s">
        <v>636</v>
      </c>
      <c r="K5" s="786" t="s">
        <v>636</v>
      </c>
      <c r="L5" s="789" t="s">
        <v>636</v>
      </c>
      <c r="M5" s="786" t="s">
        <v>636</v>
      </c>
      <c r="N5" s="787"/>
      <c r="O5" s="787"/>
      <c r="P5" s="787"/>
      <c r="Q5" s="790"/>
    </row>
    <row r="6" spans="2:18" s="773" customFormat="1" ht="21.95" customHeight="1" x14ac:dyDescent="0.15">
      <c r="B6" s="791"/>
      <c r="C6" s="792"/>
      <c r="D6" s="793"/>
      <c r="E6" s="789" t="s">
        <v>637</v>
      </c>
      <c r="F6" s="794"/>
      <c r="G6" s="789"/>
      <c r="H6" s="795"/>
      <c r="I6" s="796" t="s">
        <v>638</v>
      </c>
      <c r="J6" s="797"/>
      <c r="K6" s="796"/>
      <c r="L6" s="797"/>
      <c r="M6" s="789"/>
      <c r="N6" s="794"/>
      <c r="O6" s="794"/>
      <c r="P6" s="794"/>
      <c r="Q6" s="798"/>
      <c r="R6" s="773" t="s">
        <v>639</v>
      </c>
    </row>
    <row r="7" spans="2:18" s="773" customFormat="1" ht="21.95" customHeight="1" thickBot="1" x14ac:dyDescent="0.2">
      <c r="B7" s="791"/>
      <c r="C7" s="792"/>
      <c r="D7" s="799" t="s">
        <v>640</v>
      </c>
      <c r="E7" s="800" t="s">
        <v>641</v>
      </c>
      <c r="F7" s="801"/>
      <c r="G7" s="802" t="s">
        <v>636</v>
      </c>
      <c r="H7" s="803"/>
      <c r="I7" s="803" t="s">
        <v>636</v>
      </c>
      <c r="J7" s="804"/>
      <c r="K7" s="803" t="s">
        <v>636</v>
      </c>
      <c r="L7" s="802"/>
      <c r="M7" s="802" t="s">
        <v>636</v>
      </c>
      <c r="N7" s="801"/>
      <c r="O7" s="801"/>
      <c r="P7" s="801"/>
      <c r="Q7" s="805"/>
    </row>
    <row r="8" spans="2:18" s="773" customFormat="1" ht="21.95" customHeight="1" x14ac:dyDescent="0.15">
      <c r="B8" s="791"/>
      <c r="C8" s="806" t="s">
        <v>642</v>
      </c>
      <c r="D8" s="807" t="s">
        <v>643</v>
      </c>
      <c r="E8" s="808" t="s">
        <v>644</v>
      </c>
      <c r="F8" s="809" t="s">
        <v>636</v>
      </c>
      <c r="G8" s="809"/>
      <c r="H8" s="809"/>
      <c r="I8" s="809" t="s">
        <v>636</v>
      </c>
      <c r="J8" s="809"/>
      <c r="K8" s="809"/>
      <c r="L8" s="809" t="s">
        <v>636</v>
      </c>
      <c r="M8" s="809"/>
      <c r="N8" s="809"/>
      <c r="O8" s="809" t="s">
        <v>636</v>
      </c>
      <c r="P8" s="809"/>
      <c r="Q8" s="810"/>
    </row>
    <row r="9" spans="2:18" s="773" customFormat="1" ht="30" customHeight="1" x14ac:dyDescent="0.15">
      <c r="B9" s="791"/>
      <c r="C9" s="811"/>
      <c r="D9" s="812"/>
      <c r="E9" s="813" t="s">
        <v>645</v>
      </c>
      <c r="F9" s="814"/>
      <c r="G9" s="814" t="s">
        <v>646</v>
      </c>
      <c r="H9" s="814" t="s">
        <v>646</v>
      </c>
      <c r="I9" s="814"/>
      <c r="J9" s="814" t="s">
        <v>646</v>
      </c>
      <c r="K9" s="814" t="s">
        <v>646</v>
      </c>
      <c r="L9" s="814"/>
      <c r="M9" s="814" t="s">
        <v>646</v>
      </c>
      <c r="N9" s="814" t="s">
        <v>646</v>
      </c>
      <c r="O9" s="814"/>
      <c r="P9" s="814" t="s">
        <v>646</v>
      </c>
      <c r="Q9" s="815" t="s">
        <v>636</v>
      </c>
    </row>
    <row r="10" spans="2:18" s="773" customFormat="1" ht="21.95" customHeight="1" x14ac:dyDescent="0.15">
      <c r="B10" s="791"/>
      <c r="C10" s="811"/>
      <c r="D10" s="812"/>
      <c r="E10" s="813" t="s">
        <v>647</v>
      </c>
      <c r="F10" s="814"/>
      <c r="G10" s="814" t="s">
        <v>646</v>
      </c>
      <c r="H10" s="814" t="s">
        <v>646</v>
      </c>
      <c r="I10" s="814"/>
      <c r="J10" s="814" t="s">
        <v>646</v>
      </c>
      <c r="K10" s="814" t="s">
        <v>646</v>
      </c>
      <c r="L10" s="814"/>
      <c r="M10" s="814" t="s">
        <v>646</v>
      </c>
      <c r="N10" s="814" t="s">
        <v>646</v>
      </c>
      <c r="O10" s="814"/>
      <c r="P10" s="814" t="s">
        <v>646</v>
      </c>
      <c r="Q10" s="815" t="s">
        <v>636</v>
      </c>
    </row>
    <row r="11" spans="2:18" s="773" customFormat="1" ht="21.95" customHeight="1" x14ac:dyDescent="0.15">
      <c r="B11" s="791"/>
      <c r="C11" s="811"/>
      <c r="D11" s="812"/>
      <c r="E11" s="816" t="s">
        <v>648</v>
      </c>
      <c r="F11" s="814" t="s">
        <v>636</v>
      </c>
      <c r="G11" s="814"/>
      <c r="H11" s="814"/>
      <c r="I11" s="814" t="s">
        <v>636</v>
      </c>
      <c r="J11" s="814"/>
      <c r="K11" s="814"/>
      <c r="L11" s="814" t="s">
        <v>636</v>
      </c>
      <c r="M11" s="814"/>
      <c r="N11" s="814"/>
      <c r="O11" s="814" t="s">
        <v>636</v>
      </c>
      <c r="P11" s="814"/>
      <c r="Q11" s="815"/>
    </row>
    <row r="12" spans="2:18" s="773" customFormat="1" ht="21.95" customHeight="1" x14ac:dyDescent="0.15">
      <c r="B12" s="791"/>
      <c r="C12" s="811"/>
      <c r="D12" s="812"/>
      <c r="E12" s="816" t="s">
        <v>649</v>
      </c>
      <c r="F12" s="814"/>
      <c r="G12" s="814" t="s">
        <v>646</v>
      </c>
      <c r="H12" s="814"/>
      <c r="I12" s="814" t="s">
        <v>646</v>
      </c>
      <c r="J12" s="814"/>
      <c r="K12" s="814" t="s">
        <v>646</v>
      </c>
      <c r="L12" s="814"/>
      <c r="M12" s="814"/>
      <c r="N12" s="814"/>
      <c r="O12" s="814"/>
      <c r="P12" s="814"/>
      <c r="Q12" s="815"/>
    </row>
    <row r="13" spans="2:18" s="773" customFormat="1" ht="21.95" customHeight="1" x14ac:dyDescent="0.15">
      <c r="B13" s="791"/>
      <c r="C13" s="811"/>
      <c r="D13" s="812"/>
      <c r="E13" s="816" t="s">
        <v>650</v>
      </c>
      <c r="F13" s="814"/>
      <c r="G13" s="814"/>
      <c r="H13" s="814" t="s">
        <v>646</v>
      </c>
      <c r="I13" s="814"/>
      <c r="J13" s="814" t="s">
        <v>646</v>
      </c>
      <c r="K13" s="814"/>
      <c r="L13" s="814"/>
      <c r="M13" s="814"/>
      <c r="N13" s="814"/>
      <c r="O13" s="814"/>
      <c r="P13" s="814"/>
      <c r="Q13" s="815"/>
    </row>
    <row r="14" spans="2:18" s="773" customFormat="1" ht="21.95" customHeight="1" x14ac:dyDescent="0.15">
      <c r="B14" s="791"/>
      <c r="C14" s="811"/>
      <c r="D14" s="812"/>
      <c r="E14" s="816" t="s">
        <v>651</v>
      </c>
      <c r="F14" s="814" t="s">
        <v>636</v>
      </c>
      <c r="G14" s="814" t="s">
        <v>636</v>
      </c>
      <c r="H14" s="814" t="s">
        <v>652</v>
      </c>
      <c r="I14" s="814" t="s">
        <v>636</v>
      </c>
      <c r="J14" s="814" t="s">
        <v>636</v>
      </c>
      <c r="K14" s="814" t="s">
        <v>636</v>
      </c>
      <c r="L14" s="814" t="s">
        <v>636</v>
      </c>
      <c r="M14" s="814" t="s">
        <v>636</v>
      </c>
      <c r="N14" s="814" t="s">
        <v>636</v>
      </c>
      <c r="O14" s="814" t="s">
        <v>636</v>
      </c>
      <c r="P14" s="814" t="s">
        <v>636</v>
      </c>
      <c r="Q14" s="815" t="s">
        <v>636</v>
      </c>
    </row>
    <row r="15" spans="2:18" s="773" customFormat="1" ht="21.95" customHeight="1" x14ac:dyDescent="0.15">
      <c r="B15" s="791"/>
      <c r="C15" s="817"/>
      <c r="D15" s="812"/>
      <c r="E15" s="816" t="s">
        <v>653</v>
      </c>
      <c r="F15" s="814"/>
      <c r="G15" s="818" t="s">
        <v>652</v>
      </c>
      <c r="H15" s="818"/>
      <c r="I15" s="818" t="s">
        <v>636</v>
      </c>
      <c r="J15" s="818"/>
      <c r="K15" s="818" t="s">
        <v>636</v>
      </c>
      <c r="L15" s="818"/>
      <c r="M15" s="818" t="s">
        <v>636</v>
      </c>
      <c r="N15" s="814"/>
      <c r="O15" s="814"/>
      <c r="P15" s="814"/>
      <c r="Q15" s="815"/>
    </row>
    <row r="16" spans="2:18" s="773" customFormat="1" ht="21.95" customHeight="1" thickBot="1" x14ac:dyDescent="0.2">
      <c r="B16" s="791"/>
      <c r="C16" s="819"/>
      <c r="D16" s="787"/>
      <c r="E16" s="820" t="s">
        <v>654</v>
      </c>
      <c r="F16" s="818"/>
      <c r="G16" s="818"/>
      <c r="H16" s="818"/>
      <c r="I16" s="818"/>
      <c r="J16" s="818" t="s">
        <v>636</v>
      </c>
      <c r="K16" s="818"/>
      <c r="L16" s="818" t="s">
        <v>636</v>
      </c>
      <c r="M16" s="818"/>
      <c r="N16" s="818"/>
      <c r="O16" s="818"/>
      <c r="P16" s="818"/>
      <c r="Q16" s="821"/>
    </row>
    <row r="17" spans="2:17" s="773" customFormat="1" ht="44.25" customHeight="1" x14ac:dyDescent="0.15">
      <c r="B17" s="791"/>
      <c r="C17" s="784" t="s">
        <v>655</v>
      </c>
      <c r="D17" s="822" t="s">
        <v>656</v>
      </c>
      <c r="E17" s="823" t="s">
        <v>657</v>
      </c>
      <c r="F17" s="809" t="s">
        <v>646</v>
      </c>
      <c r="G17" s="809"/>
      <c r="H17" s="809"/>
      <c r="I17" s="809" t="s">
        <v>646</v>
      </c>
      <c r="J17" s="809"/>
      <c r="K17" s="809"/>
      <c r="L17" s="809" t="s">
        <v>646</v>
      </c>
      <c r="M17" s="809"/>
      <c r="N17" s="809"/>
      <c r="O17" s="809" t="s">
        <v>646</v>
      </c>
      <c r="P17" s="809"/>
      <c r="Q17" s="810"/>
    </row>
    <row r="18" spans="2:17" s="773" customFormat="1" ht="21.75" customHeight="1" x14ac:dyDescent="0.15">
      <c r="B18" s="791"/>
      <c r="C18" s="792"/>
      <c r="D18" s="812"/>
      <c r="E18" s="824" t="s">
        <v>658</v>
      </c>
      <c r="F18" s="787" t="s">
        <v>636</v>
      </c>
      <c r="G18" s="787"/>
      <c r="H18" s="787"/>
      <c r="I18" s="787" t="s">
        <v>636</v>
      </c>
      <c r="J18" s="787"/>
      <c r="K18" s="787"/>
      <c r="L18" s="787" t="s">
        <v>636</v>
      </c>
      <c r="M18" s="787"/>
      <c r="N18" s="787"/>
      <c r="O18" s="787" t="s">
        <v>636</v>
      </c>
      <c r="P18" s="787"/>
      <c r="Q18" s="790"/>
    </row>
    <row r="19" spans="2:17" s="773" customFormat="1" ht="21.95" customHeight="1" x14ac:dyDescent="0.15">
      <c r="B19" s="791"/>
      <c r="C19" s="792"/>
      <c r="D19" s="825"/>
      <c r="E19" s="826" t="s">
        <v>659</v>
      </c>
      <c r="F19" s="794" t="s">
        <v>636</v>
      </c>
      <c r="G19" s="794"/>
      <c r="H19" s="794"/>
      <c r="I19" s="794" t="s">
        <v>636</v>
      </c>
      <c r="J19" s="794"/>
      <c r="K19" s="794"/>
      <c r="L19" s="794" t="s">
        <v>636</v>
      </c>
      <c r="M19" s="794"/>
      <c r="N19" s="794"/>
      <c r="O19" s="794" t="s">
        <v>636</v>
      </c>
      <c r="P19" s="794"/>
      <c r="Q19" s="798"/>
    </row>
    <row r="20" spans="2:17" s="773" customFormat="1" ht="44.25" customHeight="1" x14ac:dyDescent="0.15">
      <c r="B20" s="791"/>
      <c r="C20" s="792"/>
      <c r="D20" s="812" t="s">
        <v>660</v>
      </c>
      <c r="E20" s="813" t="s">
        <v>657</v>
      </c>
      <c r="F20" s="800" t="s">
        <v>636</v>
      </c>
      <c r="G20" s="800"/>
      <c r="H20" s="800"/>
      <c r="I20" s="800" t="s">
        <v>636</v>
      </c>
      <c r="J20" s="800"/>
      <c r="K20" s="800"/>
      <c r="L20" s="800" t="s">
        <v>636</v>
      </c>
      <c r="M20" s="800"/>
      <c r="N20" s="800"/>
      <c r="O20" s="800" t="s">
        <v>636</v>
      </c>
      <c r="P20" s="800"/>
      <c r="Q20" s="827"/>
    </row>
    <row r="21" spans="2:17" s="773" customFormat="1" ht="21.75" customHeight="1" x14ac:dyDescent="0.15">
      <c r="B21" s="791"/>
      <c r="C21" s="792"/>
      <c r="D21" s="812"/>
      <c r="E21" s="824" t="s">
        <v>658</v>
      </c>
      <c r="F21" s="787" t="s">
        <v>636</v>
      </c>
      <c r="G21" s="787"/>
      <c r="H21" s="787"/>
      <c r="I21" s="787" t="s">
        <v>636</v>
      </c>
      <c r="J21" s="787"/>
      <c r="K21" s="787"/>
      <c r="L21" s="787" t="s">
        <v>636</v>
      </c>
      <c r="M21" s="787"/>
      <c r="N21" s="787"/>
      <c r="O21" s="787" t="s">
        <v>636</v>
      </c>
      <c r="P21" s="787"/>
      <c r="Q21" s="790"/>
    </row>
    <row r="22" spans="2:17" s="773" customFormat="1" ht="21.95" customHeight="1" thickBot="1" x14ac:dyDescent="0.2">
      <c r="B22" s="791"/>
      <c r="C22" s="828"/>
      <c r="D22" s="829"/>
      <c r="E22" s="830" t="s">
        <v>659</v>
      </c>
      <c r="F22" s="831" t="s">
        <v>636</v>
      </c>
      <c r="G22" s="831"/>
      <c r="H22" s="831"/>
      <c r="I22" s="831" t="s">
        <v>636</v>
      </c>
      <c r="J22" s="831"/>
      <c r="K22" s="831"/>
      <c r="L22" s="831" t="s">
        <v>636</v>
      </c>
      <c r="M22" s="831"/>
      <c r="N22" s="831"/>
      <c r="O22" s="831" t="s">
        <v>636</v>
      </c>
      <c r="P22" s="831"/>
      <c r="Q22" s="832"/>
    </row>
    <row r="23" spans="2:17" s="773" customFormat="1" ht="21.95" customHeight="1" x14ac:dyDescent="0.15">
      <c r="B23" s="791"/>
      <c r="C23" s="806" t="s">
        <v>661</v>
      </c>
      <c r="D23" s="822" t="s">
        <v>662</v>
      </c>
      <c r="E23" s="808" t="s">
        <v>663</v>
      </c>
      <c r="F23" s="809" t="s">
        <v>636</v>
      </c>
      <c r="G23" s="809"/>
      <c r="H23" s="809"/>
      <c r="I23" s="809" t="s">
        <v>636</v>
      </c>
      <c r="J23" s="809"/>
      <c r="K23" s="809"/>
      <c r="L23" s="809" t="s">
        <v>636</v>
      </c>
      <c r="M23" s="809"/>
      <c r="N23" s="809"/>
      <c r="O23" s="809" t="s">
        <v>636</v>
      </c>
      <c r="P23" s="809"/>
      <c r="Q23" s="810"/>
    </row>
    <row r="24" spans="2:17" s="773" customFormat="1" ht="21.95" customHeight="1" x14ac:dyDescent="0.15">
      <c r="B24" s="791"/>
      <c r="C24" s="811"/>
      <c r="D24" s="812"/>
      <c r="E24" s="813" t="s">
        <v>664</v>
      </c>
      <c r="F24" s="818"/>
      <c r="G24" s="814" t="s">
        <v>646</v>
      </c>
      <c r="H24" s="814" t="s">
        <v>646</v>
      </c>
      <c r="I24" s="814"/>
      <c r="J24" s="814" t="s">
        <v>646</v>
      </c>
      <c r="K24" s="814" t="s">
        <v>646</v>
      </c>
      <c r="L24" s="814"/>
      <c r="M24" s="814" t="s">
        <v>646</v>
      </c>
      <c r="N24" s="814" t="s">
        <v>646</v>
      </c>
      <c r="O24" s="814"/>
      <c r="P24" s="814" t="s">
        <v>646</v>
      </c>
      <c r="Q24" s="815" t="s">
        <v>636</v>
      </c>
    </row>
    <row r="25" spans="2:17" s="773" customFormat="1" ht="21.95" customHeight="1" x14ac:dyDescent="0.15">
      <c r="B25" s="791"/>
      <c r="C25" s="811"/>
      <c r="D25" s="812"/>
      <c r="E25" s="813" t="s">
        <v>647</v>
      </c>
      <c r="F25" s="818"/>
      <c r="G25" s="814" t="s">
        <v>646</v>
      </c>
      <c r="H25" s="814" t="s">
        <v>646</v>
      </c>
      <c r="I25" s="814"/>
      <c r="J25" s="814" t="s">
        <v>646</v>
      </c>
      <c r="K25" s="814" t="s">
        <v>646</v>
      </c>
      <c r="L25" s="814"/>
      <c r="M25" s="814" t="s">
        <v>646</v>
      </c>
      <c r="N25" s="814" t="s">
        <v>646</v>
      </c>
      <c r="O25" s="814"/>
      <c r="P25" s="814" t="s">
        <v>646</v>
      </c>
      <c r="Q25" s="815" t="s">
        <v>636</v>
      </c>
    </row>
    <row r="26" spans="2:17" s="773" customFormat="1" ht="21.95" customHeight="1" x14ac:dyDescent="0.15">
      <c r="B26" s="791"/>
      <c r="C26" s="833"/>
      <c r="D26" s="812"/>
      <c r="E26" s="816" t="s">
        <v>665</v>
      </c>
      <c r="F26" s="814" t="s">
        <v>636</v>
      </c>
      <c r="G26" s="814"/>
      <c r="H26" s="814"/>
      <c r="I26" s="814" t="s">
        <v>636</v>
      </c>
      <c r="J26" s="814"/>
      <c r="K26" s="814"/>
      <c r="L26" s="814" t="s">
        <v>636</v>
      </c>
      <c r="M26" s="814"/>
      <c r="N26" s="814"/>
      <c r="O26" s="814" t="s">
        <v>636</v>
      </c>
      <c r="P26" s="814"/>
      <c r="Q26" s="815"/>
    </row>
    <row r="27" spans="2:17" s="773" customFormat="1" ht="21.95" customHeight="1" x14ac:dyDescent="0.15">
      <c r="B27" s="791"/>
      <c r="C27" s="817"/>
      <c r="D27" s="812"/>
      <c r="E27" s="816" t="s">
        <v>649</v>
      </c>
      <c r="F27" s="814"/>
      <c r="G27" s="814" t="s">
        <v>636</v>
      </c>
      <c r="H27" s="814"/>
      <c r="I27" s="814" t="s">
        <v>636</v>
      </c>
      <c r="J27" s="814"/>
      <c r="K27" s="814" t="s">
        <v>636</v>
      </c>
      <c r="L27" s="814"/>
      <c r="M27" s="814"/>
      <c r="N27" s="814"/>
      <c r="O27" s="814"/>
      <c r="P27" s="814"/>
      <c r="Q27" s="815"/>
    </row>
    <row r="28" spans="2:17" s="773" customFormat="1" ht="21.95" customHeight="1" thickBot="1" x14ac:dyDescent="0.2">
      <c r="B28" s="791"/>
      <c r="C28" s="834"/>
      <c r="D28" s="835"/>
      <c r="E28" s="836" t="s">
        <v>650</v>
      </c>
      <c r="F28" s="831"/>
      <c r="G28" s="831"/>
      <c r="H28" s="831" t="s">
        <v>636</v>
      </c>
      <c r="I28" s="831"/>
      <c r="J28" s="831" t="s">
        <v>636</v>
      </c>
      <c r="K28" s="831"/>
      <c r="L28" s="831"/>
      <c r="M28" s="831"/>
      <c r="N28" s="831"/>
      <c r="O28" s="831"/>
      <c r="P28" s="831"/>
      <c r="Q28" s="832"/>
    </row>
    <row r="29" spans="2:17" s="773" customFormat="1" ht="21.95" customHeight="1" x14ac:dyDescent="0.15">
      <c r="B29" s="791"/>
      <c r="C29" s="784" t="s">
        <v>666</v>
      </c>
      <c r="D29" s="822" t="s">
        <v>667</v>
      </c>
      <c r="E29" s="808" t="s">
        <v>663</v>
      </c>
      <c r="F29" s="809" t="s">
        <v>636</v>
      </c>
      <c r="G29" s="809"/>
      <c r="H29" s="809"/>
      <c r="I29" s="809" t="s">
        <v>636</v>
      </c>
      <c r="J29" s="809"/>
      <c r="K29" s="809"/>
      <c r="L29" s="809" t="s">
        <v>636</v>
      </c>
      <c r="M29" s="809"/>
      <c r="N29" s="809"/>
      <c r="O29" s="809" t="s">
        <v>636</v>
      </c>
      <c r="P29" s="809"/>
      <c r="Q29" s="810"/>
    </row>
    <row r="30" spans="2:17" s="773" customFormat="1" ht="21.95" customHeight="1" x14ac:dyDescent="0.15">
      <c r="B30" s="791"/>
      <c r="C30" s="792"/>
      <c r="D30" s="812"/>
      <c r="E30" s="813" t="s">
        <v>664</v>
      </c>
      <c r="F30" s="814"/>
      <c r="G30" s="814" t="s">
        <v>646</v>
      </c>
      <c r="H30" s="814" t="s">
        <v>646</v>
      </c>
      <c r="I30" s="814"/>
      <c r="J30" s="814" t="s">
        <v>646</v>
      </c>
      <c r="K30" s="814" t="s">
        <v>646</v>
      </c>
      <c r="L30" s="814"/>
      <c r="M30" s="814" t="s">
        <v>646</v>
      </c>
      <c r="N30" s="814" t="s">
        <v>646</v>
      </c>
      <c r="O30" s="814"/>
      <c r="P30" s="814" t="s">
        <v>646</v>
      </c>
      <c r="Q30" s="815" t="s">
        <v>636</v>
      </c>
    </row>
    <row r="31" spans="2:17" s="773" customFormat="1" ht="21.95" customHeight="1" x14ac:dyDescent="0.15">
      <c r="B31" s="791"/>
      <c r="C31" s="792"/>
      <c r="D31" s="812"/>
      <c r="E31" s="813" t="s">
        <v>647</v>
      </c>
      <c r="F31" s="818"/>
      <c r="G31" s="814" t="s">
        <v>646</v>
      </c>
      <c r="H31" s="814" t="s">
        <v>646</v>
      </c>
      <c r="I31" s="814"/>
      <c r="J31" s="814" t="s">
        <v>646</v>
      </c>
      <c r="K31" s="814" t="s">
        <v>646</v>
      </c>
      <c r="L31" s="814"/>
      <c r="M31" s="814" t="s">
        <v>646</v>
      </c>
      <c r="N31" s="814" t="s">
        <v>646</v>
      </c>
      <c r="O31" s="814"/>
      <c r="P31" s="814" t="s">
        <v>646</v>
      </c>
      <c r="Q31" s="815" t="s">
        <v>636</v>
      </c>
    </row>
    <row r="32" spans="2:17" s="773" customFormat="1" ht="21.95" customHeight="1" x14ac:dyDescent="0.15">
      <c r="B32" s="791"/>
      <c r="C32" s="792"/>
      <c r="D32" s="812"/>
      <c r="E32" s="816" t="s">
        <v>665</v>
      </c>
      <c r="F32" s="818"/>
      <c r="G32" s="818"/>
      <c r="H32" s="818"/>
      <c r="I32" s="814" t="s">
        <v>646</v>
      </c>
      <c r="J32" s="818"/>
      <c r="K32" s="818"/>
      <c r="L32" s="818"/>
      <c r="M32" s="818"/>
      <c r="N32" s="818"/>
      <c r="O32" s="818"/>
      <c r="P32" s="818"/>
      <c r="Q32" s="821"/>
    </row>
    <row r="33" spans="2:24" s="773" customFormat="1" ht="21.95" customHeight="1" x14ac:dyDescent="0.15">
      <c r="B33" s="791"/>
      <c r="C33" s="792"/>
      <c r="D33" s="837"/>
      <c r="E33" s="838" t="s">
        <v>668</v>
      </c>
      <c r="F33" s="794" t="s">
        <v>636</v>
      </c>
      <c r="G33" s="794"/>
      <c r="H33" s="794"/>
      <c r="I33" s="794"/>
      <c r="J33" s="794"/>
      <c r="K33" s="794"/>
      <c r="L33" s="794" t="s">
        <v>636</v>
      </c>
      <c r="M33" s="794"/>
      <c r="N33" s="794"/>
      <c r="O33" s="794" t="s">
        <v>636</v>
      </c>
      <c r="P33" s="794"/>
      <c r="Q33" s="798"/>
      <c r="X33" s="839"/>
    </row>
    <row r="34" spans="2:24" s="773" customFormat="1" ht="21.95" customHeight="1" x14ac:dyDescent="0.15">
      <c r="B34" s="791"/>
      <c r="C34" s="792"/>
      <c r="D34" s="840" t="s">
        <v>669</v>
      </c>
      <c r="E34" s="841" t="s">
        <v>663</v>
      </c>
      <c r="F34" s="800"/>
      <c r="G34" s="800"/>
      <c r="H34" s="800"/>
      <c r="I34" s="800" t="s">
        <v>646</v>
      </c>
      <c r="J34" s="800"/>
      <c r="K34" s="800"/>
      <c r="L34" s="800"/>
      <c r="M34" s="800"/>
      <c r="N34" s="800"/>
      <c r="O34" s="800"/>
      <c r="P34" s="800"/>
      <c r="Q34" s="827"/>
    </row>
    <row r="35" spans="2:24" s="773" customFormat="1" ht="18.75" customHeight="1" x14ac:dyDescent="0.15">
      <c r="B35" s="791"/>
      <c r="C35" s="792"/>
      <c r="D35" s="812"/>
      <c r="E35" s="842" t="s">
        <v>670</v>
      </c>
      <c r="F35" s="814" t="s">
        <v>646</v>
      </c>
      <c r="G35" s="814"/>
      <c r="H35" s="814"/>
      <c r="I35" s="814"/>
      <c r="J35" s="814"/>
      <c r="K35" s="814"/>
      <c r="L35" s="814" t="s">
        <v>646</v>
      </c>
      <c r="M35" s="814"/>
      <c r="N35" s="814"/>
      <c r="O35" s="814" t="s">
        <v>646</v>
      </c>
      <c r="P35" s="814"/>
      <c r="Q35" s="815"/>
    </row>
    <row r="36" spans="2:24" s="773" customFormat="1" ht="18.75" customHeight="1" x14ac:dyDescent="0.15">
      <c r="B36" s="843"/>
      <c r="C36" s="844"/>
      <c r="D36" s="840" t="s">
        <v>671</v>
      </c>
      <c r="E36" s="841" t="s">
        <v>663</v>
      </c>
      <c r="F36" s="814"/>
      <c r="G36" s="814"/>
      <c r="H36" s="814"/>
      <c r="I36" s="814" t="s">
        <v>636</v>
      </c>
      <c r="J36" s="814"/>
      <c r="K36" s="814"/>
      <c r="L36" s="814"/>
      <c r="M36" s="814"/>
      <c r="N36" s="814"/>
      <c r="O36" s="814"/>
      <c r="P36" s="814"/>
      <c r="Q36" s="815"/>
    </row>
    <row r="37" spans="2:24" s="773" customFormat="1" ht="18.75" customHeight="1" thickBot="1" x14ac:dyDescent="0.2">
      <c r="B37" s="843"/>
      <c r="C37" s="844"/>
      <c r="D37" s="835"/>
      <c r="E37" s="842" t="s">
        <v>670</v>
      </c>
      <c r="F37" s="787" t="s">
        <v>652</v>
      </c>
      <c r="G37" s="787"/>
      <c r="H37" s="787"/>
      <c r="I37" s="787"/>
      <c r="J37" s="787"/>
      <c r="K37" s="787"/>
      <c r="L37" s="787" t="s">
        <v>636</v>
      </c>
      <c r="M37" s="787"/>
      <c r="N37" s="787"/>
      <c r="O37" s="787" t="s">
        <v>636</v>
      </c>
      <c r="P37" s="787"/>
      <c r="Q37" s="790"/>
    </row>
    <row r="38" spans="2:24" s="773" customFormat="1" ht="21.95" customHeight="1" thickBot="1" x14ac:dyDescent="0.2">
      <c r="B38" s="779" t="s">
        <v>672</v>
      </c>
      <c r="C38" s="780"/>
      <c r="D38" s="781" t="s">
        <v>673</v>
      </c>
      <c r="E38" s="781" t="s">
        <v>674</v>
      </c>
      <c r="F38" s="781"/>
      <c r="G38" s="781"/>
      <c r="H38" s="781"/>
      <c r="I38" s="781"/>
      <c r="J38" s="781"/>
      <c r="K38" s="781" t="s">
        <v>646</v>
      </c>
      <c r="L38" s="781"/>
      <c r="M38" s="781"/>
      <c r="N38" s="781"/>
      <c r="O38" s="781"/>
      <c r="P38" s="781"/>
      <c r="Q38" s="782"/>
    </row>
    <row r="39" spans="2:24" s="773" customFormat="1" ht="21.95" customHeight="1" thickBot="1" x14ac:dyDescent="0.2">
      <c r="B39" s="779" t="s">
        <v>675</v>
      </c>
      <c r="C39" s="780"/>
      <c r="D39" s="781" t="s">
        <v>676</v>
      </c>
      <c r="E39" s="781" t="s">
        <v>677</v>
      </c>
      <c r="F39" s="781"/>
      <c r="G39" s="781"/>
      <c r="H39" s="781"/>
      <c r="I39" s="781"/>
      <c r="J39" s="781"/>
      <c r="K39" s="781" t="s">
        <v>646</v>
      </c>
      <c r="L39" s="781"/>
      <c r="M39" s="781"/>
      <c r="N39" s="781"/>
      <c r="O39" s="781"/>
      <c r="P39" s="781"/>
      <c r="Q39" s="782"/>
    </row>
    <row r="40" spans="2:24" s="773" customFormat="1" ht="21.95" customHeight="1" x14ac:dyDescent="0.15">
      <c r="B40" s="845" t="s">
        <v>678</v>
      </c>
      <c r="C40" s="837"/>
      <c r="D40" s="846" t="s">
        <v>679</v>
      </c>
      <c r="E40" s="847"/>
      <c r="F40" s="848">
        <v>7</v>
      </c>
      <c r="G40" s="848">
        <v>5</v>
      </c>
      <c r="H40" s="848">
        <v>4</v>
      </c>
      <c r="I40" s="848">
        <v>12</v>
      </c>
      <c r="J40" s="848">
        <v>4</v>
      </c>
      <c r="K40" s="848">
        <v>7</v>
      </c>
      <c r="L40" s="848">
        <v>8</v>
      </c>
      <c r="M40" s="848">
        <v>5</v>
      </c>
      <c r="N40" s="848">
        <v>3</v>
      </c>
      <c r="O40" s="848">
        <v>7</v>
      </c>
      <c r="P40" s="848">
        <v>3</v>
      </c>
      <c r="Q40" s="849">
        <v>3</v>
      </c>
    </row>
    <row r="41" spans="2:24" s="773" customFormat="1" ht="21.95" customHeight="1" x14ac:dyDescent="0.15">
      <c r="B41" s="850"/>
      <c r="C41" s="851"/>
      <c r="D41" s="852" t="s">
        <v>680</v>
      </c>
      <c r="E41" s="853"/>
      <c r="F41" s="854">
        <v>4</v>
      </c>
      <c r="G41" s="854">
        <v>4</v>
      </c>
      <c r="H41" s="854">
        <v>3</v>
      </c>
      <c r="I41" s="854">
        <v>6</v>
      </c>
      <c r="J41" s="854">
        <v>3</v>
      </c>
      <c r="K41" s="854">
        <v>4</v>
      </c>
      <c r="L41" s="854">
        <v>5</v>
      </c>
      <c r="M41" s="854">
        <v>4</v>
      </c>
      <c r="N41" s="854">
        <v>2</v>
      </c>
      <c r="O41" s="854">
        <v>4</v>
      </c>
      <c r="P41" s="854">
        <v>2</v>
      </c>
      <c r="Q41" s="855">
        <v>2</v>
      </c>
    </row>
    <row r="42" spans="2:24" s="773" customFormat="1" ht="21.95" customHeight="1" thickBot="1" x14ac:dyDescent="0.2">
      <c r="B42" s="856"/>
      <c r="C42" s="857"/>
      <c r="D42" s="858" t="s">
        <v>681</v>
      </c>
      <c r="E42" s="859"/>
      <c r="F42" s="860">
        <v>3</v>
      </c>
      <c r="G42" s="860">
        <v>1</v>
      </c>
      <c r="H42" s="860">
        <v>1</v>
      </c>
      <c r="I42" s="860">
        <v>6</v>
      </c>
      <c r="J42" s="860">
        <v>1</v>
      </c>
      <c r="K42" s="860">
        <v>3</v>
      </c>
      <c r="L42" s="860">
        <v>3</v>
      </c>
      <c r="M42" s="860">
        <v>1</v>
      </c>
      <c r="N42" s="860">
        <v>1</v>
      </c>
      <c r="O42" s="860">
        <v>3</v>
      </c>
      <c r="P42" s="860">
        <v>1</v>
      </c>
      <c r="Q42" s="861">
        <v>1</v>
      </c>
    </row>
    <row r="43" spans="2:24" s="773" customFormat="1" ht="21.95" customHeight="1" x14ac:dyDescent="0.15">
      <c r="D43" s="862"/>
    </row>
    <row r="44" spans="2:24" s="863" customFormat="1" ht="16.5" customHeight="1" x14ac:dyDescent="0.15">
      <c r="C44" s="864" t="s">
        <v>682</v>
      </c>
      <c r="D44" s="865" t="s">
        <v>683</v>
      </c>
      <c r="E44" s="865" t="s">
        <v>684</v>
      </c>
    </row>
    <row r="45" spans="2:24" s="863" customFormat="1" ht="21.95" customHeight="1" x14ac:dyDescent="0.15">
      <c r="C45" s="773"/>
      <c r="D45" s="773"/>
      <c r="E45" s="773"/>
    </row>
    <row r="46" spans="2:24" s="773" customFormat="1" ht="21.95" customHeight="1" x14ac:dyDescent="0.15"/>
    <row r="47" spans="2:24" s="773" customFormat="1" ht="21.95" customHeight="1" x14ac:dyDescent="0.15"/>
    <row r="48" spans="2:24" s="773" customFormat="1" ht="21.95" customHeight="1" x14ac:dyDescent="0.15"/>
    <row r="49" spans="4:4" s="773" customFormat="1" ht="21.75" customHeight="1" x14ac:dyDescent="0.15">
      <c r="D49" s="866"/>
    </row>
    <row r="50" spans="4:4" s="773" customFormat="1" x14ac:dyDescent="0.15">
      <c r="D50" s="862"/>
    </row>
    <row r="51" spans="4:4" s="773" customFormat="1" x14ac:dyDescent="0.15">
      <c r="D51" s="862"/>
    </row>
    <row r="52" spans="4:4" s="773" customFormat="1" x14ac:dyDescent="0.15">
      <c r="D52" s="862"/>
    </row>
    <row r="53" spans="4:4" s="773" customFormat="1" x14ac:dyDescent="0.15">
      <c r="D53" s="862"/>
    </row>
    <row r="54" spans="4:4" s="773" customFormat="1" x14ac:dyDescent="0.15">
      <c r="D54" s="862"/>
    </row>
    <row r="55" spans="4:4" s="773" customFormat="1" x14ac:dyDescent="0.15">
      <c r="D55" s="862"/>
    </row>
    <row r="56" spans="4:4" s="773" customFormat="1" x14ac:dyDescent="0.15">
      <c r="D56" s="862"/>
    </row>
    <row r="57" spans="4:4" s="773" customFormat="1" x14ac:dyDescent="0.15">
      <c r="D57" s="862"/>
    </row>
    <row r="58" spans="4:4" s="773" customFormat="1" x14ac:dyDescent="0.15">
      <c r="D58" s="862"/>
    </row>
    <row r="59" spans="4:4" s="773" customFormat="1" x14ac:dyDescent="0.15">
      <c r="D59" s="862"/>
    </row>
    <row r="60" spans="4:4" s="773" customFormat="1" x14ac:dyDescent="0.15">
      <c r="D60" s="862"/>
    </row>
    <row r="61" spans="4:4" s="773" customFormat="1" x14ac:dyDescent="0.15">
      <c r="D61" s="862"/>
    </row>
    <row r="62" spans="4:4" s="773" customFormat="1" x14ac:dyDescent="0.15">
      <c r="D62" s="862"/>
    </row>
    <row r="63" spans="4:4" s="773" customFormat="1" x14ac:dyDescent="0.15">
      <c r="D63" s="862"/>
    </row>
    <row r="64" spans="4:4" s="773" customFormat="1" x14ac:dyDescent="0.15">
      <c r="D64" s="862"/>
    </row>
    <row r="65" spans="4:4" s="773" customFormat="1" x14ac:dyDescent="0.15">
      <c r="D65" s="862"/>
    </row>
    <row r="66" spans="4:4" s="773" customFormat="1" x14ac:dyDescent="0.15">
      <c r="D66" s="862"/>
    </row>
    <row r="67" spans="4:4" s="773" customFormat="1" x14ac:dyDescent="0.15">
      <c r="D67" s="862"/>
    </row>
    <row r="68" spans="4:4" s="773" customFormat="1" x14ac:dyDescent="0.15">
      <c r="D68" s="862"/>
    </row>
    <row r="69" spans="4:4" s="773" customFormat="1" x14ac:dyDescent="0.15">
      <c r="D69" s="862"/>
    </row>
    <row r="70" spans="4:4" s="773" customFormat="1" x14ac:dyDescent="0.15">
      <c r="D70" s="862"/>
    </row>
    <row r="71" spans="4:4" s="773" customFormat="1" x14ac:dyDescent="0.15">
      <c r="D71" s="862"/>
    </row>
    <row r="72" spans="4:4" s="773" customFormat="1" x14ac:dyDescent="0.15">
      <c r="D72" s="862"/>
    </row>
    <row r="73" spans="4:4" s="773" customFormat="1" x14ac:dyDescent="0.15">
      <c r="D73" s="862"/>
    </row>
    <row r="74" spans="4:4" s="773" customFormat="1" x14ac:dyDescent="0.15">
      <c r="D74" s="862"/>
    </row>
    <row r="75" spans="4:4" s="773" customFormat="1" x14ac:dyDescent="0.15">
      <c r="D75" s="862"/>
    </row>
    <row r="76" spans="4:4" s="773" customFormat="1" x14ac:dyDescent="0.15">
      <c r="D76" s="862"/>
    </row>
    <row r="77" spans="4:4" s="773" customFormat="1" x14ac:dyDescent="0.15">
      <c r="D77" s="862"/>
    </row>
    <row r="78" spans="4:4" s="773" customFormat="1" x14ac:dyDescent="0.15">
      <c r="D78" s="862"/>
    </row>
    <row r="79" spans="4:4" s="773" customFormat="1" x14ac:dyDescent="0.15">
      <c r="D79" s="862"/>
    </row>
    <row r="80" spans="4:4" s="773" customFormat="1" x14ac:dyDescent="0.15">
      <c r="D80" s="862"/>
    </row>
    <row r="81" spans="4:4" s="773" customFormat="1" x14ac:dyDescent="0.15">
      <c r="D81" s="862"/>
    </row>
    <row r="82" spans="4:4" s="773" customFormat="1" x14ac:dyDescent="0.15">
      <c r="D82" s="862"/>
    </row>
    <row r="83" spans="4:4" s="773" customFormat="1" x14ac:dyDescent="0.15">
      <c r="D83" s="862"/>
    </row>
  </sheetData>
  <mergeCells count="22">
    <mergeCell ref="B38:C38"/>
    <mergeCell ref="B39:C39"/>
    <mergeCell ref="B40:C42"/>
    <mergeCell ref="D40:E40"/>
    <mergeCell ref="D41:E41"/>
    <mergeCell ref="D42:E42"/>
    <mergeCell ref="C23:C28"/>
    <mergeCell ref="D23:D28"/>
    <mergeCell ref="C29:C35"/>
    <mergeCell ref="D29:D33"/>
    <mergeCell ref="D34:D35"/>
    <mergeCell ref="D36:D37"/>
    <mergeCell ref="B2:Q2"/>
    <mergeCell ref="B4:C4"/>
    <mergeCell ref="B5:B35"/>
    <mergeCell ref="C5:C7"/>
    <mergeCell ref="D5:D6"/>
    <mergeCell ref="C8:C15"/>
    <mergeCell ref="D8:D15"/>
    <mergeCell ref="C17:C22"/>
    <mergeCell ref="D17:D19"/>
    <mergeCell ref="D20:D22"/>
  </mergeCells>
  <phoneticPr fontId="4"/>
  <printOptions horizontalCentered="1" verticalCentered="1"/>
  <pageMargins left="0.59055118110236227" right="0.39370078740157483" top="0.78740157480314965" bottom="0.78740157480314965" header="0.51181102362204722" footer="0.51181102362204722"/>
  <pageSetup paperSize="9" scale="6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>
    <pageSetUpPr fitToPage="1"/>
  </sheetPr>
  <dimension ref="B1:V81"/>
  <sheetViews>
    <sheetView zoomScaleNormal="100" zoomScaleSheetLayoutView="115" workbookViewId="0"/>
  </sheetViews>
  <sheetFormatPr defaultColWidth="8.875" defaultRowHeight="10.15" customHeight="1" x14ac:dyDescent="0.15"/>
  <cols>
    <col min="1" max="1" width="1.75" style="3" customWidth="1"/>
    <col min="2" max="2" width="3.125" style="3" customWidth="1"/>
    <col min="3" max="3" width="8.875" style="3" customWidth="1"/>
    <col min="4" max="4" width="14.25" style="3" customWidth="1"/>
    <col min="5" max="5" width="12.125" style="3" customWidth="1"/>
    <col min="6" max="20" width="7.5" style="3" customWidth="1"/>
    <col min="21" max="21" width="13.5" style="4" customWidth="1"/>
    <col min="22" max="22" width="3.5" style="3" customWidth="1"/>
    <col min="23" max="16384" width="8.875" style="3"/>
  </cols>
  <sheetData>
    <row r="1" spans="2:22" ht="20.100000000000001" customHeight="1" x14ac:dyDescent="0.15">
      <c r="B1" s="551" t="s">
        <v>685</v>
      </c>
      <c r="C1" s="551"/>
      <c r="D1" s="551"/>
      <c r="E1" s="551"/>
      <c r="F1" s="551"/>
      <c r="G1" s="551"/>
      <c r="H1" s="551"/>
      <c r="I1" s="551"/>
      <c r="J1" s="551"/>
      <c r="K1" s="551"/>
      <c r="L1" s="551"/>
      <c r="M1" s="551"/>
    </row>
    <row r="2" spans="2:22" ht="12" customHeight="1" thickBot="1" x14ac:dyDescent="0.2">
      <c r="C2" s="16"/>
    </row>
    <row r="3" spans="2:22" ht="16.899999999999999" customHeight="1" thickBot="1" x14ac:dyDescent="0.2">
      <c r="B3" s="4"/>
      <c r="C3" s="10"/>
      <c r="D3" s="12"/>
      <c r="E3" s="4"/>
      <c r="F3" s="41" t="s">
        <v>7</v>
      </c>
      <c r="G3" s="639" t="s">
        <v>8</v>
      </c>
      <c r="H3" s="639"/>
      <c r="I3" s="639"/>
      <c r="J3" s="639"/>
      <c r="K3" s="639"/>
      <c r="L3" s="4"/>
      <c r="M3" s="4"/>
      <c r="N3" s="4"/>
      <c r="O3" s="4"/>
      <c r="P3" s="4"/>
      <c r="Q3" s="4"/>
      <c r="R3" s="4"/>
      <c r="S3" s="4"/>
      <c r="T3" s="4"/>
      <c r="V3" s="4"/>
    </row>
    <row r="4" spans="2:22" ht="16.899999999999999" customHeight="1" thickBot="1" x14ac:dyDescent="0.2">
      <c r="B4" s="620" t="s">
        <v>23</v>
      </c>
      <c r="C4" s="621"/>
      <c r="D4" s="31" t="s">
        <v>134</v>
      </c>
      <c r="E4" s="4"/>
      <c r="F4" s="42"/>
      <c r="G4" s="646" t="s">
        <v>135</v>
      </c>
      <c r="H4" s="646"/>
      <c r="I4" s="646"/>
      <c r="J4" s="646"/>
      <c r="K4" s="646"/>
      <c r="L4" s="4"/>
      <c r="M4" s="4"/>
      <c r="N4" s="4"/>
      <c r="O4" s="4"/>
      <c r="P4" s="4"/>
      <c r="Q4" s="4"/>
      <c r="R4" s="4"/>
      <c r="S4" s="4"/>
      <c r="T4" s="4"/>
      <c r="V4" s="4"/>
    </row>
    <row r="5" spans="2:22" ht="10.15" customHeight="1" thickBot="1" x14ac:dyDescent="0.2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V5" s="4"/>
    </row>
    <row r="6" spans="2:22" ht="12" customHeight="1" x14ac:dyDescent="0.15">
      <c r="B6" s="624" t="s">
        <v>124</v>
      </c>
      <c r="C6" s="625"/>
      <c r="D6" s="628" t="s">
        <v>9</v>
      </c>
      <c r="E6" s="629"/>
      <c r="F6" s="167">
        <v>45028</v>
      </c>
      <c r="G6" s="233">
        <v>45056</v>
      </c>
      <c r="H6" s="233">
        <v>45084</v>
      </c>
      <c r="I6" s="233">
        <v>45112</v>
      </c>
      <c r="J6" s="233">
        <v>45140</v>
      </c>
      <c r="K6" s="233">
        <v>45175</v>
      </c>
      <c r="L6" s="374">
        <v>45203</v>
      </c>
      <c r="M6" s="233">
        <v>45238</v>
      </c>
      <c r="N6" s="233">
        <v>45266</v>
      </c>
      <c r="O6" s="233">
        <v>45301</v>
      </c>
      <c r="P6" s="233">
        <v>45329</v>
      </c>
      <c r="Q6" s="405">
        <v>45357</v>
      </c>
      <c r="R6" s="608" t="s">
        <v>0</v>
      </c>
      <c r="S6" s="612" t="s">
        <v>1</v>
      </c>
      <c r="T6" s="617" t="s">
        <v>2</v>
      </c>
      <c r="U6" s="577" t="s">
        <v>15</v>
      </c>
      <c r="V6" s="4"/>
    </row>
    <row r="7" spans="2:22" ht="12" customHeight="1" x14ac:dyDescent="0.15">
      <c r="B7" s="626"/>
      <c r="C7" s="627"/>
      <c r="D7" s="622" t="s">
        <v>14</v>
      </c>
      <c r="E7" s="623"/>
      <c r="F7" s="168">
        <v>0.38680555555555557</v>
      </c>
      <c r="G7" s="169">
        <v>0.38472222222222219</v>
      </c>
      <c r="H7" s="169">
        <v>0.37013888888888885</v>
      </c>
      <c r="I7" s="169">
        <v>0.39513888888888887</v>
      </c>
      <c r="J7" s="169">
        <v>0.38055555555555554</v>
      </c>
      <c r="K7" s="169">
        <v>0.38263888888888892</v>
      </c>
      <c r="L7" s="375">
        <v>0.40416666666666662</v>
      </c>
      <c r="M7" s="169">
        <v>0.37708333333333338</v>
      </c>
      <c r="N7" s="169">
        <v>0.38055555555555554</v>
      </c>
      <c r="O7" s="169">
        <v>0.38958333333333334</v>
      </c>
      <c r="P7" s="169">
        <v>0.36458333333333331</v>
      </c>
      <c r="Q7" s="406">
        <v>0.36944444444444446</v>
      </c>
      <c r="R7" s="609"/>
      <c r="S7" s="613"/>
      <c r="T7" s="618"/>
      <c r="U7" s="578"/>
      <c r="V7" s="4"/>
    </row>
    <row r="8" spans="2:22" ht="12" customHeight="1" x14ac:dyDescent="0.15">
      <c r="B8" s="626"/>
      <c r="C8" s="627"/>
      <c r="D8" s="622" t="s">
        <v>10</v>
      </c>
      <c r="E8" s="623"/>
      <c r="F8" s="169" t="s">
        <v>466</v>
      </c>
      <c r="G8" s="169" t="s">
        <v>515</v>
      </c>
      <c r="H8" s="204" t="s">
        <v>580</v>
      </c>
      <c r="I8" s="169" t="s">
        <v>302</v>
      </c>
      <c r="J8" s="204" t="s">
        <v>580</v>
      </c>
      <c r="K8" s="172" t="s">
        <v>302</v>
      </c>
      <c r="L8" s="363" t="s">
        <v>580</v>
      </c>
      <c r="M8" s="169" t="s">
        <v>508</v>
      </c>
      <c r="N8" s="169" t="s">
        <v>302</v>
      </c>
      <c r="O8" s="447" t="s">
        <v>557</v>
      </c>
      <c r="P8" s="169" t="s">
        <v>302</v>
      </c>
      <c r="Q8" s="406" t="s">
        <v>302</v>
      </c>
      <c r="R8" s="609"/>
      <c r="S8" s="613"/>
      <c r="T8" s="618"/>
      <c r="U8" s="578"/>
      <c r="V8" s="4"/>
    </row>
    <row r="9" spans="2:22" ht="12" customHeight="1" x14ac:dyDescent="0.15">
      <c r="B9" s="626"/>
      <c r="C9" s="627"/>
      <c r="D9" s="649" t="s">
        <v>11</v>
      </c>
      <c r="E9" s="650"/>
      <c r="F9" s="169" t="s">
        <v>525</v>
      </c>
      <c r="G9" s="169" t="s">
        <v>515</v>
      </c>
      <c r="H9" s="204" t="s">
        <v>302</v>
      </c>
      <c r="I9" s="169" t="s">
        <v>466</v>
      </c>
      <c r="J9" s="204" t="s">
        <v>302</v>
      </c>
      <c r="K9" s="172" t="s">
        <v>525</v>
      </c>
      <c r="L9" s="363" t="s">
        <v>551</v>
      </c>
      <c r="M9" s="169" t="s">
        <v>508</v>
      </c>
      <c r="N9" s="169" t="s">
        <v>580</v>
      </c>
      <c r="O9" s="447" t="s">
        <v>557</v>
      </c>
      <c r="P9" s="169" t="s">
        <v>302</v>
      </c>
      <c r="Q9" s="484" t="s">
        <v>302</v>
      </c>
      <c r="R9" s="610"/>
      <c r="S9" s="614"/>
      <c r="T9" s="619"/>
      <c r="U9" s="578"/>
      <c r="V9" s="4"/>
    </row>
    <row r="10" spans="2:22" ht="12" customHeight="1" x14ac:dyDescent="0.15">
      <c r="B10" s="626"/>
      <c r="C10" s="627"/>
      <c r="D10" s="649" t="s">
        <v>12</v>
      </c>
      <c r="E10" s="650"/>
      <c r="F10" s="170">
        <v>10.3</v>
      </c>
      <c r="G10" s="91">
        <v>14</v>
      </c>
      <c r="H10" s="91">
        <v>21.4</v>
      </c>
      <c r="I10" s="91">
        <v>23.7</v>
      </c>
      <c r="J10" s="91">
        <v>27.8</v>
      </c>
      <c r="K10" s="91">
        <v>24.5</v>
      </c>
      <c r="L10" s="366">
        <v>19</v>
      </c>
      <c r="M10" s="91">
        <v>12.1</v>
      </c>
      <c r="N10" s="91">
        <v>6.5</v>
      </c>
      <c r="O10" s="91">
        <v>0.5</v>
      </c>
      <c r="P10" s="91">
        <v>1.4</v>
      </c>
      <c r="Q10" s="395">
        <v>5.3</v>
      </c>
      <c r="R10" s="170">
        <f>MAX(F10:Q10)</f>
        <v>27.8</v>
      </c>
      <c r="S10" s="485">
        <f>MIN(F10:Q10)</f>
        <v>0.5</v>
      </c>
      <c r="T10" s="395">
        <f>AVERAGEA(F10:Q10)</f>
        <v>13.875</v>
      </c>
      <c r="U10" s="578"/>
      <c r="V10" s="4"/>
    </row>
    <row r="11" spans="2:22" ht="12" customHeight="1" x14ac:dyDescent="0.15">
      <c r="B11" s="626"/>
      <c r="C11" s="627"/>
      <c r="D11" s="649" t="s">
        <v>263</v>
      </c>
      <c r="E11" s="650"/>
      <c r="F11" s="170">
        <v>7.4</v>
      </c>
      <c r="G11" s="91">
        <v>9.4</v>
      </c>
      <c r="H11" s="91">
        <v>15.2</v>
      </c>
      <c r="I11" s="91">
        <v>18.899999999999999</v>
      </c>
      <c r="J11" s="91">
        <v>20</v>
      </c>
      <c r="K11" s="91">
        <v>14.2</v>
      </c>
      <c r="L11" s="366">
        <v>19.2</v>
      </c>
      <c r="M11" s="91">
        <v>13.1</v>
      </c>
      <c r="N11" s="91">
        <v>8.1999999999999993</v>
      </c>
      <c r="O11" s="91">
        <v>5.6</v>
      </c>
      <c r="P11" s="91">
        <v>3.7</v>
      </c>
      <c r="Q11" s="395">
        <v>5.5</v>
      </c>
      <c r="R11" s="170">
        <f>MAX(F11:Q11)</f>
        <v>20</v>
      </c>
      <c r="S11" s="485">
        <f>MIN(F11:Q11)</f>
        <v>3.7</v>
      </c>
      <c r="T11" s="395">
        <f>AVERAGEA(F11:Q11)</f>
        <v>11.700000000000001</v>
      </c>
      <c r="U11" s="578"/>
      <c r="V11" s="4"/>
    </row>
    <row r="12" spans="2:22" ht="12" customHeight="1" thickBot="1" x14ac:dyDescent="0.2">
      <c r="B12" s="747"/>
      <c r="C12" s="748"/>
      <c r="D12" s="745" t="s">
        <v>4</v>
      </c>
      <c r="E12" s="746"/>
      <c r="F12" s="197">
        <v>0.54</v>
      </c>
      <c r="G12" s="263">
        <v>0.54</v>
      </c>
      <c r="H12" s="247">
        <v>0.63</v>
      </c>
      <c r="I12" s="247">
        <v>0.76</v>
      </c>
      <c r="J12" s="247">
        <v>0.75</v>
      </c>
      <c r="K12" s="247">
        <v>0.69</v>
      </c>
      <c r="L12" s="372">
        <v>0.74</v>
      </c>
      <c r="M12" s="387">
        <v>0.71</v>
      </c>
      <c r="N12" s="330">
        <v>0.69</v>
      </c>
      <c r="O12" s="330">
        <v>0.54</v>
      </c>
      <c r="P12" s="330">
        <v>0.56999999999999995</v>
      </c>
      <c r="Q12" s="509">
        <v>0.54</v>
      </c>
      <c r="R12" s="510">
        <f>MAX(F12:Q12)</f>
        <v>0.76</v>
      </c>
      <c r="S12" s="511">
        <f>MIN(F12:Q12)</f>
        <v>0.54</v>
      </c>
      <c r="T12" s="509">
        <f>AVERAGEA(F12:Q12)</f>
        <v>0.64166666666666661</v>
      </c>
      <c r="U12" s="579"/>
      <c r="V12" s="4"/>
    </row>
    <row r="13" spans="2:22" ht="15" customHeight="1" x14ac:dyDescent="0.15">
      <c r="B13" s="584" t="s">
        <v>125</v>
      </c>
      <c r="C13" s="585"/>
      <c r="D13" s="585"/>
      <c r="E13" s="32" t="s">
        <v>64</v>
      </c>
      <c r="F13" s="587" t="s">
        <v>3</v>
      </c>
      <c r="G13" s="658"/>
      <c r="H13" s="585"/>
      <c r="I13" s="585"/>
      <c r="J13" s="585"/>
      <c r="K13" s="585"/>
      <c r="L13" s="585"/>
      <c r="M13" s="585"/>
      <c r="N13" s="585"/>
      <c r="O13" s="585"/>
      <c r="P13" s="585"/>
      <c r="Q13" s="588"/>
      <c r="R13" s="589"/>
      <c r="S13" s="590"/>
      <c r="T13" s="591"/>
      <c r="U13" s="29"/>
      <c r="V13" s="4"/>
    </row>
    <row r="14" spans="2:22" ht="12" customHeight="1" x14ac:dyDescent="0.15">
      <c r="B14" s="19">
        <v>1</v>
      </c>
      <c r="C14" s="592" t="s">
        <v>24</v>
      </c>
      <c r="D14" s="593"/>
      <c r="E14" s="11" t="s">
        <v>105</v>
      </c>
      <c r="F14" s="171">
        <v>0</v>
      </c>
      <c r="G14" s="264">
        <v>0</v>
      </c>
      <c r="H14" s="234">
        <v>0</v>
      </c>
      <c r="I14" s="234">
        <v>0</v>
      </c>
      <c r="J14" s="234">
        <v>0</v>
      </c>
      <c r="K14" s="234">
        <v>0</v>
      </c>
      <c r="L14" s="234">
        <v>0</v>
      </c>
      <c r="M14" s="234">
        <v>0</v>
      </c>
      <c r="N14" s="234">
        <v>0</v>
      </c>
      <c r="O14" s="234">
        <v>0</v>
      </c>
      <c r="P14" s="234">
        <v>0</v>
      </c>
      <c r="Q14" s="392">
        <v>0</v>
      </c>
      <c r="R14" s="308">
        <f>IF(MAX(F14:Q14)=0,0,MAX(F14:Q14))</f>
        <v>0</v>
      </c>
      <c r="S14" s="358">
        <f>IF(MIN(F14:Q14)=0,0,MIN(F14:Q14))</f>
        <v>0</v>
      </c>
      <c r="T14" s="418">
        <f>IF(AVERAGEA(F14:Q14)=0,0,AVERAGEA(F14:Q14))</f>
        <v>0</v>
      </c>
      <c r="U14" s="594" t="s">
        <v>59</v>
      </c>
      <c r="V14" s="2"/>
    </row>
    <row r="15" spans="2:22" ht="12" customHeight="1" x14ac:dyDescent="0.15">
      <c r="B15" s="19">
        <f>B14+1</f>
        <v>2</v>
      </c>
      <c r="C15" s="592" t="s">
        <v>25</v>
      </c>
      <c r="D15" s="593"/>
      <c r="E15" s="15" t="s">
        <v>114</v>
      </c>
      <c r="F15" s="164" t="s">
        <v>303</v>
      </c>
      <c r="G15" s="68" t="s">
        <v>517</v>
      </c>
      <c r="H15" s="68" t="s">
        <v>517</v>
      </c>
      <c r="I15" s="68" t="s">
        <v>303</v>
      </c>
      <c r="J15" s="68" t="s">
        <v>517</v>
      </c>
      <c r="K15" s="68" t="s">
        <v>517</v>
      </c>
      <c r="L15" s="364" t="s">
        <v>303</v>
      </c>
      <c r="M15" s="380" t="s">
        <v>603</v>
      </c>
      <c r="N15" s="441" t="s">
        <v>517</v>
      </c>
      <c r="O15" s="448" t="s">
        <v>303</v>
      </c>
      <c r="P15" s="478" t="s">
        <v>517</v>
      </c>
      <c r="Q15" s="484" t="s">
        <v>517</v>
      </c>
      <c r="R15" s="489"/>
      <c r="S15" s="482"/>
      <c r="T15" s="484"/>
      <c r="U15" s="578"/>
      <c r="V15" s="2"/>
    </row>
    <row r="16" spans="2:22" ht="12" customHeight="1" x14ac:dyDescent="0.15">
      <c r="B16" s="19">
        <f t="shared" ref="B16:B64" si="0">B15+1</f>
        <v>3</v>
      </c>
      <c r="C16" s="592" t="s">
        <v>26</v>
      </c>
      <c r="D16" s="593"/>
      <c r="E16" s="11" t="s">
        <v>209</v>
      </c>
      <c r="F16" s="173" t="s">
        <v>304</v>
      </c>
      <c r="G16" s="265"/>
      <c r="H16" s="265"/>
      <c r="I16" s="179" t="s">
        <v>304</v>
      </c>
      <c r="J16" s="179"/>
      <c r="K16" s="179"/>
      <c r="L16" s="179" t="s">
        <v>304</v>
      </c>
      <c r="M16" s="179"/>
      <c r="N16" s="179"/>
      <c r="O16" s="179" t="s">
        <v>304</v>
      </c>
      <c r="P16" s="179"/>
      <c r="Q16" s="393"/>
      <c r="R16" s="239" t="str">
        <f>IF(MAXA(F16:Q16)&lt;0.0003,"&lt;0.0003",MAXA(F16:Q16))</f>
        <v>&lt;0.0003</v>
      </c>
      <c r="S16" s="179" t="str">
        <f>IF(MINA(F16:Q16)&lt;0.0003,"&lt;0.0003",MINA(F16:Q16))</f>
        <v>&lt;0.0003</v>
      </c>
      <c r="T16" s="393" t="str">
        <f>IF(AVERAGEA(F16:Q16)&lt;0.0003,"&lt;0.0003",AVERAGEA(F16:Q16))</f>
        <v>&lt;0.0003</v>
      </c>
      <c r="U16" s="595" t="s">
        <v>60</v>
      </c>
      <c r="V16" s="2"/>
    </row>
    <row r="17" spans="2:22" ht="12" customHeight="1" x14ac:dyDescent="0.15">
      <c r="B17" s="19">
        <f t="shared" si="0"/>
        <v>4</v>
      </c>
      <c r="C17" s="592" t="s">
        <v>27</v>
      </c>
      <c r="D17" s="593"/>
      <c r="E17" s="11" t="s">
        <v>106</v>
      </c>
      <c r="F17" s="174" t="s">
        <v>305</v>
      </c>
      <c r="G17" s="266"/>
      <c r="H17" s="266"/>
      <c r="I17" s="235" t="s">
        <v>305</v>
      </c>
      <c r="J17" s="235"/>
      <c r="K17" s="235"/>
      <c r="L17" s="235" t="s">
        <v>305</v>
      </c>
      <c r="M17" s="235"/>
      <c r="N17" s="235"/>
      <c r="O17" s="235" t="s">
        <v>305</v>
      </c>
      <c r="P17" s="235"/>
      <c r="Q17" s="394"/>
      <c r="R17" s="276" t="str">
        <f>IF(MAXA(F17:Q17)&lt;0.00005,"&lt;0.00005",MAXA(F17:Q17))</f>
        <v>&lt;0.00005</v>
      </c>
      <c r="S17" s="235" t="str">
        <f>IF(MINA(F17:Q17)&lt;0.00005,"&lt;0.00005",MINA(F17:Q17))</f>
        <v>&lt;0.00005</v>
      </c>
      <c r="T17" s="394" t="str">
        <f>IF(AVERAGEA(F17:Q17)&lt;0.00005,"&lt;0.00005",AVERAGEA(F17:Q17))</f>
        <v>&lt;0.00005</v>
      </c>
      <c r="U17" s="595"/>
      <c r="V17" s="2"/>
    </row>
    <row r="18" spans="2:22" ht="12" customHeight="1" x14ac:dyDescent="0.15">
      <c r="B18" s="19">
        <f t="shared" si="0"/>
        <v>5</v>
      </c>
      <c r="C18" s="592" t="s">
        <v>28</v>
      </c>
      <c r="D18" s="593"/>
      <c r="E18" s="11" t="s">
        <v>93</v>
      </c>
      <c r="F18" s="173" t="s">
        <v>306</v>
      </c>
      <c r="G18" s="265"/>
      <c r="H18" s="265"/>
      <c r="I18" s="179" t="s">
        <v>306</v>
      </c>
      <c r="J18" s="179"/>
      <c r="K18" s="179"/>
      <c r="L18" s="179" t="s">
        <v>306</v>
      </c>
      <c r="M18" s="179"/>
      <c r="N18" s="179"/>
      <c r="O18" s="179" t="s">
        <v>306</v>
      </c>
      <c r="P18" s="179"/>
      <c r="Q18" s="393"/>
      <c r="R18" s="239" t="str">
        <f t="shared" ref="R18:R23" si="1">IF(MAXA(F18:Q18)&lt;0.001,"&lt;0.001",MAXA(F18:Q18))</f>
        <v>&lt;0.001</v>
      </c>
      <c r="S18" s="179" t="str">
        <f t="shared" ref="S18:S23" si="2">IF(MINA(F18:Q18)&lt;0.001,"&lt;0.001",MINA(F18:Q18))</f>
        <v>&lt;0.001</v>
      </c>
      <c r="T18" s="393" t="str">
        <f t="shared" ref="T18:T23" si="3">IF(AVERAGEA(F18:Q18)&lt;0.001,"&lt;0.001",AVERAGEA(F18:Q18))</f>
        <v>&lt;0.001</v>
      </c>
      <c r="U18" s="595"/>
      <c r="V18" s="2"/>
    </row>
    <row r="19" spans="2:22" ht="12" customHeight="1" x14ac:dyDescent="0.15">
      <c r="B19" s="19">
        <f t="shared" si="0"/>
        <v>6</v>
      </c>
      <c r="C19" s="592" t="s">
        <v>29</v>
      </c>
      <c r="D19" s="593"/>
      <c r="E19" s="11" t="s">
        <v>93</v>
      </c>
      <c r="F19" s="173" t="s">
        <v>306</v>
      </c>
      <c r="G19" s="265"/>
      <c r="H19" s="265"/>
      <c r="I19" s="179" t="s">
        <v>306</v>
      </c>
      <c r="J19" s="179"/>
      <c r="K19" s="179"/>
      <c r="L19" s="179" t="s">
        <v>306</v>
      </c>
      <c r="M19" s="179"/>
      <c r="N19" s="179"/>
      <c r="O19" s="179" t="s">
        <v>306</v>
      </c>
      <c r="P19" s="179"/>
      <c r="Q19" s="393"/>
      <c r="R19" s="239" t="str">
        <f t="shared" si="1"/>
        <v>&lt;0.001</v>
      </c>
      <c r="S19" s="179" t="str">
        <f t="shared" si="2"/>
        <v>&lt;0.001</v>
      </c>
      <c r="T19" s="393" t="str">
        <f t="shared" si="3"/>
        <v>&lt;0.001</v>
      </c>
      <c r="U19" s="595"/>
      <c r="V19" s="2"/>
    </row>
    <row r="20" spans="2:22" ht="12" customHeight="1" x14ac:dyDescent="0.15">
      <c r="B20" s="19">
        <f t="shared" si="0"/>
        <v>7</v>
      </c>
      <c r="C20" s="592" t="s">
        <v>30</v>
      </c>
      <c r="D20" s="593"/>
      <c r="E20" s="11" t="s">
        <v>93</v>
      </c>
      <c r="F20" s="173" t="s">
        <v>306</v>
      </c>
      <c r="G20" s="265"/>
      <c r="H20" s="265"/>
      <c r="I20" s="179" t="s">
        <v>306</v>
      </c>
      <c r="J20" s="179"/>
      <c r="K20" s="179"/>
      <c r="L20" s="179" t="s">
        <v>306</v>
      </c>
      <c r="M20" s="179"/>
      <c r="N20" s="179"/>
      <c r="O20" s="179" t="s">
        <v>306</v>
      </c>
      <c r="P20" s="179"/>
      <c r="Q20" s="393"/>
      <c r="R20" s="239" t="str">
        <f t="shared" si="1"/>
        <v>&lt;0.001</v>
      </c>
      <c r="S20" s="179" t="str">
        <f t="shared" si="2"/>
        <v>&lt;0.001</v>
      </c>
      <c r="T20" s="393" t="str">
        <f t="shared" si="3"/>
        <v>&lt;0.001</v>
      </c>
      <c r="U20" s="595"/>
      <c r="V20" s="2"/>
    </row>
    <row r="21" spans="2:22" ht="12" customHeight="1" x14ac:dyDescent="0.15">
      <c r="B21" s="19">
        <f t="shared" si="0"/>
        <v>8</v>
      </c>
      <c r="C21" s="592" t="s">
        <v>31</v>
      </c>
      <c r="D21" s="593"/>
      <c r="E21" s="11" t="s">
        <v>96</v>
      </c>
      <c r="F21" s="173" t="s">
        <v>307</v>
      </c>
      <c r="G21" s="265"/>
      <c r="H21" s="265"/>
      <c r="I21" s="179" t="s">
        <v>307</v>
      </c>
      <c r="J21" s="179"/>
      <c r="K21" s="179"/>
      <c r="L21" s="179" t="s">
        <v>307</v>
      </c>
      <c r="M21" s="179"/>
      <c r="N21" s="179"/>
      <c r="O21" s="179" t="s">
        <v>307</v>
      </c>
      <c r="P21" s="179"/>
      <c r="Q21" s="393"/>
      <c r="R21" s="239" t="str">
        <f>IF(MAXA(F21:Q21)&lt;0.002,"&lt;0.002",MAXA(F21:Q21))</f>
        <v>&lt;0.002</v>
      </c>
      <c r="S21" s="179" t="str">
        <f>IF(MINA(F21:Q21)&lt;0.002,"&lt;0.002",MINA(F21:Q21))</f>
        <v>&lt;0.002</v>
      </c>
      <c r="T21" s="393" t="str">
        <f>IF(AVERAGEA(F21:Q21)&lt;0.002,"&lt;0.002",AVERAGEA(F21:Q21))</f>
        <v>&lt;0.002</v>
      </c>
      <c r="U21" s="595"/>
      <c r="V21" s="2"/>
    </row>
    <row r="22" spans="2:22" ht="12" customHeight="1" x14ac:dyDescent="0.15">
      <c r="B22" s="19">
        <f t="shared" si="0"/>
        <v>9</v>
      </c>
      <c r="C22" s="592" t="s">
        <v>210</v>
      </c>
      <c r="D22" s="611"/>
      <c r="E22" s="11" t="s">
        <v>88</v>
      </c>
      <c r="F22" s="173" t="s">
        <v>308</v>
      </c>
      <c r="G22" s="265" t="s">
        <v>308</v>
      </c>
      <c r="H22" s="265" t="s">
        <v>308</v>
      </c>
      <c r="I22" s="179" t="s">
        <v>308</v>
      </c>
      <c r="J22" s="265" t="s">
        <v>308</v>
      </c>
      <c r="K22" s="265" t="s">
        <v>308</v>
      </c>
      <c r="L22" s="179" t="s">
        <v>308</v>
      </c>
      <c r="M22" s="179" t="s">
        <v>308</v>
      </c>
      <c r="N22" s="179" t="s">
        <v>308</v>
      </c>
      <c r="O22" s="179" t="s">
        <v>308</v>
      </c>
      <c r="P22" s="179" t="s">
        <v>308</v>
      </c>
      <c r="Q22" s="393" t="s">
        <v>308</v>
      </c>
      <c r="R22" s="239" t="str">
        <f>IF(MAXA(F22:Q22)&lt;0.004,"&lt;0.004",MAXA(F22:Q22))</f>
        <v>&lt;0.004</v>
      </c>
      <c r="S22" s="179" t="str">
        <f>IF(MINA(F22:Q22)&lt;0.004,"&lt;0.004",MINA(F22:Q22))</f>
        <v>&lt;0.004</v>
      </c>
      <c r="T22" s="393" t="str">
        <f>IF(AVERAGEA(F22:Q22)&lt;0.004,"&lt;0.004",AVERAGEA(F22:Q22))</f>
        <v>&lt;0.004</v>
      </c>
      <c r="U22" s="594" t="s">
        <v>498</v>
      </c>
      <c r="V22" s="2"/>
    </row>
    <row r="23" spans="2:22" ht="12" customHeight="1" x14ac:dyDescent="0.15">
      <c r="B23" s="19">
        <f t="shared" si="0"/>
        <v>10</v>
      </c>
      <c r="C23" s="592" t="s">
        <v>32</v>
      </c>
      <c r="D23" s="593"/>
      <c r="E23" s="11" t="s">
        <v>93</v>
      </c>
      <c r="F23" s="173" t="s">
        <v>306</v>
      </c>
      <c r="G23" s="265" t="s">
        <v>306</v>
      </c>
      <c r="H23" s="265" t="s">
        <v>582</v>
      </c>
      <c r="I23" s="179" t="s">
        <v>306</v>
      </c>
      <c r="J23" s="265" t="s">
        <v>306</v>
      </c>
      <c r="K23" s="265" t="s">
        <v>306</v>
      </c>
      <c r="L23" s="179" t="s">
        <v>306</v>
      </c>
      <c r="M23" s="179" t="s">
        <v>306</v>
      </c>
      <c r="N23" s="179" t="s">
        <v>306</v>
      </c>
      <c r="O23" s="179" t="s">
        <v>306</v>
      </c>
      <c r="P23" s="179" t="s">
        <v>306</v>
      </c>
      <c r="Q23" s="393" t="s">
        <v>306</v>
      </c>
      <c r="R23" s="239" t="str">
        <f t="shared" si="1"/>
        <v>&lt;0.001</v>
      </c>
      <c r="S23" s="179" t="str">
        <f t="shared" si="2"/>
        <v>&lt;0.001</v>
      </c>
      <c r="T23" s="393" t="str">
        <f t="shared" si="3"/>
        <v>&lt;0.001</v>
      </c>
      <c r="U23" s="578"/>
      <c r="V23" s="2"/>
    </row>
    <row r="24" spans="2:22" ht="12" customHeight="1" x14ac:dyDescent="0.15">
      <c r="B24" s="19">
        <f t="shared" si="0"/>
        <v>11</v>
      </c>
      <c r="C24" s="592" t="s">
        <v>33</v>
      </c>
      <c r="D24" s="593"/>
      <c r="E24" s="11" t="s">
        <v>108</v>
      </c>
      <c r="F24" s="170">
        <v>0.2</v>
      </c>
      <c r="G24" s="267">
        <v>0.1</v>
      </c>
      <c r="H24" s="267" t="s">
        <v>583</v>
      </c>
      <c r="I24" s="91">
        <v>0.2</v>
      </c>
      <c r="J24" s="267">
        <v>0.1</v>
      </c>
      <c r="K24" s="267">
        <v>0.1</v>
      </c>
      <c r="L24" s="91">
        <v>0.4</v>
      </c>
      <c r="M24" s="315">
        <v>0.2</v>
      </c>
      <c r="N24" s="315">
        <v>0.2</v>
      </c>
      <c r="O24" s="91">
        <v>0.2</v>
      </c>
      <c r="P24" s="315">
        <v>0.2</v>
      </c>
      <c r="Q24" s="395">
        <v>0.2</v>
      </c>
      <c r="R24" s="486">
        <f>IF(MAXA(F24:Q24)&lt;0.1,"&lt;0.1",MAXA(F24:Q24))</f>
        <v>0.4</v>
      </c>
      <c r="S24" s="91" t="str">
        <f>IF(MINA(F24:Q24)&lt;0.1,"&lt;0.1",MINA(F24:Q24))</f>
        <v>&lt;0.1</v>
      </c>
      <c r="T24" s="395">
        <f>IF(AVERAGEA(F24:Q24)&lt;0.1,"&lt;0.1",AVERAGEA(F24:Q24))</f>
        <v>0.17500000000000002</v>
      </c>
      <c r="U24" s="578"/>
      <c r="V24" s="2"/>
    </row>
    <row r="25" spans="2:22" ht="12" customHeight="1" x14ac:dyDescent="0.15">
      <c r="B25" s="19">
        <f t="shared" si="0"/>
        <v>12</v>
      </c>
      <c r="C25" s="592" t="s">
        <v>34</v>
      </c>
      <c r="D25" s="593"/>
      <c r="E25" s="11" t="s">
        <v>109</v>
      </c>
      <c r="F25" s="173" t="s">
        <v>309</v>
      </c>
      <c r="G25" s="268"/>
      <c r="H25" s="265"/>
      <c r="I25" s="179" t="s">
        <v>309</v>
      </c>
      <c r="J25" s="178"/>
      <c r="K25" s="178"/>
      <c r="L25" s="179" t="s">
        <v>309</v>
      </c>
      <c r="M25" s="158" t="s">
        <v>601</v>
      </c>
      <c r="N25" s="178"/>
      <c r="O25" s="179" t="s">
        <v>309</v>
      </c>
      <c r="P25" s="178"/>
      <c r="Q25" s="396"/>
      <c r="R25" s="178" t="str">
        <f>IF(MAXA(F25:Q25)&lt;0.08,"&lt;0.08",MAXA(F25:Q25))</f>
        <v>&lt;0.08</v>
      </c>
      <c r="S25" s="178" t="str">
        <f>IF(MINA(F25:Q25)&lt;0.08,"&lt;0.08",MINA(F25:Q25))</f>
        <v>&lt;0.08</v>
      </c>
      <c r="T25" s="396" t="str">
        <f>IF(AVERAGEA(F25:Q25)&lt;0.08,"&lt;0.08",AVERAGEA(F25:Q25))</f>
        <v>&lt;0.08</v>
      </c>
      <c r="U25" s="578"/>
      <c r="V25" s="2"/>
    </row>
    <row r="26" spans="2:22" ht="12" customHeight="1" x14ac:dyDescent="0.15">
      <c r="B26" s="19">
        <f t="shared" si="0"/>
        <v>13</v>
      </c>
      <c r="C26" s="592" t="s">
        <v>35</v>
      </c>
      <c r="D26" s="593"/>
      <c r="E26" s="11" t="s">
        <v>110</v>
      </c>
      <c r="F26" s="170" t="s">
        <v>310</v>
      </c>
      <c r="G26" s="269"/>
      <c r="H26" s="269"/>
      <c r="I26" s="91" t="s">
        <v>310</v>
      </c>
      <c r="J26" s="91"/>
      <c r="K26" s="91"/>
      <c r="L26" s="91" t="s">
        <v>310</v>
      </c>
      <c r="M26" s="159" t="s">
        <v>601</v>
      </c>
      <c r="N26" s="91"/>
      <c r="O26" s="91" t="s">
        <v>310</v>
      </c>
      <c r="P26" s="91"/>
      <c r="Q26" s="395"/>
      <c r="R26" s="91" t="str">
        <f>IF(MAXA(F26:Q26)&lt;0.1,"&lt;0.1",MAXA(F26:Q26))</f>
        <v>&lt;0.1</v>
      </c>
      <c r="S26" s="91" t="str">
        <f>IF(MINA(F26:Q26)&lt;0.1,"&lt;0.1",MINA(F26:Q26))</f>
        <v>&lt;0.1</v>
      </c>
      <c r="T26" s="395" t="str">
        <f>IF(AVERAGEA(F26:Q26)&lt;0.1,"&lt;0.1",AVERAGEA(F26:Q26))</f>
        <v>&lt;0.1</v>
      </c>
      <c r="U26" s="596"/>
      <c r="V26" s="2"/>
    </row>
    <row r="27" spans="2:22" ht="12" customHeight="1" x14ac:dyDescent="0.15">
      <c r="B27" s="19">
        <f t="shared" si="0"/>
        <v>14</v>
      </c>
      <c r="C27" s="592" t="s">
        <v>36</v>
      </c>
      <c r="D27" s="593"/>
      <c r="E27" s="11" t="s">
        <v>111</v>
      </c>
      <c r="F27" s="176" t="s">
        <v>311</v>
      </c>
      <c r="G27" s="270"/>
      <c r="H27" s="270"/>
      <c r="I27" s="237" t="s">
        <v>311</v>
      </c>
      <c r="J27" s="237"/>
      <c r="K27" s="237"/>
      <c r="L27" s="237" t="s">
        <v>311</v>
      </c>
      <c r="M27" s="160" t="s">
        <v>601</v>
      </c>
      <c r="N27" s="237"/>
      <c r="O27" s="237" t="s">
        <v>311</v>
      </c>
      <c r="P27" s="237"/>
      <c r="Q27" s="397"/>
      <c r="R27" s="237" t="str">
        <f>IF(MAXA(F27:Q27)&lt;0.0002,"&lt;0.0002",MAXA(F27:Q27))</f>
        <v>&lt;0.0002</v>
      </c>
      <c r="S27" s="237" t="str">
        <f>IF(MINA(F27:Q27)&lt;0.0002,"&lt;0.0002",MINA(F27:Q27))</f>
        <v>&lt;0.0002</v>
      </c>
      <c r="T27" s="397" t="str">
        <f>IF(AVERAGEA(F27:Q27)&lt;0.0002,"&lt;0.0002",AVERAGEA(F27:Q27))</f>
        <v>&lt;0.0002</v>
      </c>
      <c r="U27" s="595" t="s">
        <v>62</v>
      </c>
      <c r="V27" s="2"/>
    </row>
    <row r="28" spans="2:22" ht="12" customHeight="1" x14ac:dyDescent="0.15">
      <c r="B28" s="19">
        <f t="shared" si="0"/>
        <v>15</v>
      </c>
      <c r="C28" s="592" t="s">
        <v>187</v>
      </c>
      <c r="D28" s="593"/>
      <c r="E28" s="11" t="s">
        <v>107</v>
      </c>
      <c r="F28" s="173" t="s">
        <v>312</v>
      </c>
      <c r="G28" s="265"/>
      <c r="H28" s="265"/>
      <c r="I28" s="179" t="s">
        <v>312</v>
      </c>
      <c r="J28" s="179"/>
      <c r="K28" s="179"/>
      <c r="L28" s="179" t="s">
        <v>312</v>
      </c>
      <c r="M28" s="157" t="s">
        <v>601</v>
      </c>
      <c r="N28" s="179"/>
      <c r="O28" s="179" t="s">
        <v>312</v>
      </c>
      <c r="P28" s="179"/>
      <c r="Q28" s="393"/>
      <c r="R28" s="239" t="str">
        <f>IF(MAXA(F28:Q28)&lt;0.005,"&lt;0.005",MAXA(F28:Q28))</f>
        <v>&lt;0.005</v>
      </c>
      <c r="S28" s="179" t="str">
        <f>IF(MINA(F28:Q28)&lt;0.005,"&lt;0.005",MINA(F28:Q28))</f>
        <v>&lt;0.005</v>
      </c>
      <c r="T28" s="393" t="str">
        <f>IF(AVERAGEA(F28:Q28)&lt;0.005,"&lt;0.005",AVERAGEA(F28:Q28))</f>
        <v>&lt;0.005</v>
      </c>
      <c r="U28" s="595"/>
      <c r="V28" s="2"/>
    </row>
    <row r="29" spans="2:22" ht="24" customHeight="1" x14ac:dyDescent="0.15">
      <c r="B29" s="19">
        <f>B28+1</f>
        <v>16</v>
      </c>
      <c r="C29" s="597" t="s">
        <v>256</v>
      </c>
      <c r="D29" s="593"/>
      <c r="E29" s="11" t="s">
        <v>88</v>
      </c>
      <c r="F29" s="173" t="s">
        <v>307</v>
      </c>
      <c r="G29" s="265"/>
      <c r="H29" s="265"/>
      <c r="I29" s="179" t="s">
        <v>307</v>
      </c>
      <c r="J29" s="179"/>
      <c r="K29" s="179"/>
      <c r="L29" s="179" t="s">
        <v>307</v>
      </c>
      <c r="M29" s="157" t="s">
        <v>601</v>
      </c>
      <c r="N29" s="179"/>
      <c r="O29" s="179" t="s">
        <v>307</v>
      </c>
      <c r="P29" s="179"/>
      <c r="Q29" s="393"/>
      <c r="R29" s="179" t="str">
        <f>IF(MAXA(F29:Q29)&lt;0.002,"&lt;0.002",MAXA(F29:Q29))</f>
        <v>&lt;0.002</v>
      </c>
      <c r="S29" s="179" t="str">
        <f>IF(MINA(F29:Q29)&lt;0.002,"&lt;0.002",MINA(F29:Q29))</f>
        <v>&lt;0.002</v>
      </c>
      <c r="T29" s="393" t="str">
        <f>IF(AVERAGEA(F29:Q29)&lt;0.002,"&lt;0.002",AVERAGEA(F29:Q29))</f>
        <v>&lt;0.002</v>
      </c>
      <c r="U29" s="595"/>
      <c r="V29" s="2"/>
    </row>
    <row r="30" spans="2:22" ht="12" customHeight="1" x14ac:dyDescent="0.15">
      <c r="B30" s="19">
        <f t="shared" si="0"/>
        <v>17</v>
      </c>
      <c r="C30" s="592" t="s">
        <v>188</v>
      </c>
      <c r="D30" s="593"/>
      <c r="E30" s="11" t="s">
        <v>96</v>
      </c>
      <c r="F30" s="173" t="s">
        <v>306</v>
      </c>
      <c r="G30" s="265"/>
      <c r="H30" s="265"/>
      <c r="I30" s="179" t="s">
        <v>306</v>
      </c>
      <c r="J30" s="179"/>
      <c r="K30" s="179"/>
      <c r="L30" s="179" t="s">
        <v>306</v>
      </c>
      <c r="M30" s="157"/>
      <c r="N30" s="179"/>
      <c r="O30" s="179" t="s">
        <v>306</v>
      </c>
      <c r="P30" s="179"/>
      <c r="Q30" s="393"/>
      <c r="R30" s="179" t="str">
        <f>IF(MAXA(F30:Q30)&lt;0.001,"&lt;0.001",MAXA(F30:Q30))</f>
        <v>&lt;0.001</v>
      </c>
      <c r="S30" s="179" t="str">
        <f>IF(MINA(F30:Q30)&lt;0.001,"&lt;0.001",MINA(F30:Q30))</f>
        <v>&lt;0.001</v>
      </c>
      <c r="T30" s="393" t="str">
        <f>IF(AVERAGEA(F30:Q30)&lt;0.001,"&lt;0.001",AVERAGEA(F30:Q30))</f>
        <v>&lt;0.001</v>
      </c>
      <c r="U30" s="595"/>
      <c r="V30" s="2"/>
    </row>
    <row r="31" spans="2:22" ht="12" customHeight="1" x14ac:dyDescent="0.15">
      <c r="B31" s="19">
        <f t="shared" si="0"/>
        <v>18</v>
      </c>
      <c r="C31" s="592" t="s">
        <v>189</v>
      </c>
      <c r="D31" s="593"/>
      <c r="E31" s="11" t="s">
        <v>93</v>
      </c>
      <c r="F31" s="173" t="s">
        <v>306</v>
      </c>
      <c r="G31" s="265"/>
      <c r="H31" s="265"/>
      <c r="I31" s="179" t="s">
        <v>306</v>
      </c>
      <c r="J31" s="179"/>
      <c r="K31" s="179"/>
      <c r="L31" s="179" t="s">
        <v>306</v>
      </c>
      <c r="M31" s="157" t="s">
        <v>601</v>
      </c>
      <c r="N31" s="179"/>
      <c r="O31" s="179" t="s">
        <v>306</v>
      </c>
      <c r="P31" s="179"/>
      <c r="Q31" s="393"/>
      <c r="R31" s="179" t="str">
        <f>IF(MAXA(F31:Q31)&lt;0.001,"&lt;0.001",MAXA(F31:Q31))</f>
        <v>&lt;0.001</v>
      </c>
      <c r="S31" s="179" t="str">
        <f>IF(MINA(F31:Q31)&lt;0.001,"&lt;0.001",MINA(F31:Q31))</f>
        <v>&lt;0.001</v>
      </c>
      <c r="T31" s="393" t="str">
        <f>IF(AVERAGEA(F31:Q31)&lt;0.001,"&lt;0.001",AVERAGEA(F31:Q31))</f>
        <v>&lt;0.001</v>
      </c>
      <c r="U31" s="595"/>
      <c r="V31" s="2"/>
    </row>
    <row r="32" spans="2:22" ht="12" customHeight="1" x14ac:dyDescent="0.15">
      <c r="B32" s="19">
        <f t="shared" si="0"/>
        <v>19</v>
      </c>
      <c r="C32" s="592" t="s">
        <v>190</v>
      </c>
      <c r="D32" s="593"/>
      <c r="E32" s="11" t="s">
        <v>93</v>
      </c>
      <c r="F32" s="173" t="s">
        <v>306</v>
      </c>
      <c r="G32" s="265"/>
      <c r="H32" s="265"/>
      <c r="I32" s="179" t="s">
        <v>306</v>
      </c>
      <c r="J32" s="179"/>
      <c r="K32" s="179"/>
      <c r="L32" s="179" t="s">
        <v>306</v>
      </c>
      <c r="M32" s="157" t="s">
        <v>601</v>
      </c>
      <c r="N32" s="179"/>
      <c r="O32" s="179" t="s">
        <v>306</v>
      </c>
      <c r="P32" s="179"/>
      <c r="Q32" s="393"/>
      <c r="R32" s="179" t="str">
        <f>IF(MAXA(F32:Q32)&lt;0.001,"&lt;0.001",MAXA(F32:Q32))</f>
        <v>&lt;0.001</v>
      </c>
      <c r="S32" s="179" t="str">
        <f>IF(MINA(F32:Q32)&lt;0.001,"&lt;0.001",MINA(F32:Q32))</f>
        <v>&lt;0.001</v>
      </c>
      <c r="T32" s="393" t="str">
        <f>IF(AVERAGEA(F32:Q32)&lt;0.001,"&lt;0.001",AVERAGEA(F32:Q32))</f>
        <v>&lt;0.001</v>
      </c>
      <c r="U32" s="595"/>
      <c r="V32" s="2"/>
    </row>
    <row r="33" spans="2:22" ht="12" customHeight="1" x14ac:dyDescent="0.15">
      <c r="B33" s="19">
        <f t="shared" si="0"/>
        <v>20</v>
      </c>
      <c r="C33" s="592" t="s">
        <v>191</v>
      </c>
      <c r="D33" s="593"/>
      <c r="E33" s="11" t="s">
        <v>93</v>
      </c>
      <c r="F33" s="173" t="s">
        <v>306</v>
      </c>
      <c r="G33" s="265"/>
      <c r="H33" s="265"/>
      <c r="I33" s="179" t="s">
        <v>306</v>
      </c>
      <c r="J33" s="179"/>
      <c r="K33" s="179"/>
      <c r="L33" s="179" t="s">
        <v>306</v>
      </c>
      <c r="M33" s="157" t="s">
        <v>601</v>
      </c>
      <c r="N33" s="179"/>
      <c r="O33" s="179" t="s">
        <v>306</v>
      </c>
      <c r="P33" s="179"/>
      <c r="Q33" s="393"/>
      <c r="R33" s="179" t="str">
        <f>IF(MAXA(F33:Q33)&lt;0.001,"&lt;0.001",MAXA(F33:Q33))</f>
        <v>&lt;0.001</v>
      </c>
      <c r="S33" s="179" t="str">
        <f>IF(MINA(F33:Q33)&lt;0.001,"&lt;0.001",MINA(F33:Q33))</f>
        <v>&lt;0.001</v>
      </c>
      <c r="T33" s="393" t="str">
        <f>IF(AVERAGEA(F33:Q33)&lt;0.001,"&lt;0.001",AVERAGEA(F33:Q33))</f>
        <v>&lt;0.001</v>
      </c>
      <c r="U33" s="595"/>
      <c r="V33" s="2"/>
    </row>
    <row r="34" spans="2:22" ht="12" customHeight="1" x14ac:dyDescent="0.15">
      <c r="B34" s="19">
        <f t="shared" si="0"/>
        <v>21</v>
      </c>
      <c r="C34" s="592" t="s">
        <v>252</v>
      </c>
      <c r="D34" s="593"/>
      <c r="E34" s="11" t="s">
        <v>91</v>
      </c>
      <c r="F34" s="173" t="s">
        <v>322</v>
      </c>
      <c r="G34" s="265" t="s">
        <v>322</v>
      </c>
      <c r="H34" s="265" t="s">
        <v>322</v>
      </c>
      <c r="I34" s="265" t="s">
        <v>589</v>
      </c>
      <c r="J34" s="265" t="s">
        <v>592</v>
      </c>
      <c r="K34" s="352">
        <v>0.14000000000000001</v>
      </c>
      <c r="L34" s="265" t="s">
        <v>589</v>
      </c>
      <c r="M34" s="265" t="s">
        <v>589</v>
      </c>
      <c r="N34" s="265" t="s">
        <v>322</v>
      </c>
      <c r="O34" s="265" t="s">
        <v>322</v>
      </c>
      <c r="P34" s="265" t="s">
        <v>322</v>
      </c>
      <c r="Q34" s="393" t="s">
        <v>322</v>
      </c>
      <c r="R34" s="277">
        <f>IF(MAXA(F34:Q34)&lt;0.06,"&lt;0.06",MAXA(F34:Q34))</f>
        <v>0.14000000000000001</v>
      </c>
      <c r="S34" s="179" t="str">
        <f>IF(MINA(F34:Q34)&lt;0.06,"&lt;0.06",MINA(F34:Q34))</f>
        <v>&lt;0.06</v>
      </c>
      <c r="T34" s="393" t="str">
        <f>IF(AVERAGEA(F34:Q34)&lt;0.06,"&lt;0.06",AVERAGEA(F34:Q34))</f>
        <v>&lt;0.06</v>
      </c>
      <c r="U34" s="594" t="s">
        <v>61</v>
      </c>
      <c r="V34" s="2"/>
    </row>
    <row r="35" spans="2:22" ht="12" customHeight="1" x14ac:dyDescent="0.15">
      <c r="B35" s="19">
        <f t="shared" si="0"/>
        <v>22</v>
      </c>
      <c r="C35" s="592" t="s">
        <v>37</v>
      </c>
      <c r="D35" s="593"/>
      <c r="E35" s="11" t="s">
        <v>96</v>
      </c>
      <c r="F35" s="173" t="s">
        <v>307</v>
      </c>
      <c r="G35" s="265" t="s">
        <v>307</v>
      </c>
      <c r="H35" s="265" t="s">
        <v>307</v>
      </c>
      <c r="I35" s="265" t="s">
        <v>307</v>
      </c>
      <c r="J35" s="265" t="s">
        <v>307</v>
      </c>
      <c r="K35" s="265" t="s">
        <v>307</v>
      </c>
      <c r="L35" s="265" t="s">
        <v>307</v>
      </c>
      <c r="M35" s="265" t="s">
        <v>307</v>
      </c>
      <c r="N35" s="265" t="s">
        <v>307</v>
      </c>
      <c r="O35" s="265" t="s">
        <v>307</v>
      </c>
      <c r="P35" s="265" t="s">
        <v>307</v>
      </c>
      <c r="Q35" s="393" t="s">
        <v>307</v>
      </c>
      <c r="R35" s="239" t="str">
        <f>IF(MAXA(F35:Q35)&lt;0.002,"&lt;0.002",MAXA(F35:Q35))</f>
        <v>&lt;0.002</v>
      </c>
      <c r="S35" s="179" t="str">
        <f>IF(MINA(F35:Q35)&lt;0.002,"&lt;0.002",MINA(F35:Q35))</f>
        <v>&lt;0.002</v>
      </c>
      <c r="T35" s="393" t="str">
        <f>IF(AVERAGEA(F35:Q35)&lt;0.002,"&lt;0.002",AVERAGEA(F35:Q35))</f>
        <v>&lt;0.002</v>
      </c>
      <c r="U35" s="578"/>
      <c r="V35" s="2"/>
    </row>
    <row r="36" spans="2:22" ht="12" customHeight="1" x14ac:dyDescent="0.15">
      <c r="B36" s="19">
        <f t="shared" si="0"/>
        <v>23</v>
      </c>
      <c r="C36" s="592" t="s">
        <v>171</v>
      </c>
      <c r="D36" s="593"/>
      <c r="E36" s="11" t="s">
        <v>113</v>
      </c>
      <c r="F36" s="173">
        <v>1E-3</v>
      </c>
      <c r="G36" s="265">
        <v>2E-3</v>
      </c>
      <c r="H36" s="179">
        <v>3.0000000000000001E-3</v>
      </c>
      <c r="I36" s="179">
        <v>5.0000000000000001E-3</v>
      </c>
      <c r="J36" s="179">
        <v>4.0000000000000001E-3</v>
      </c>
      <c r="K36" s="179">
        <v>3.0000000000000001E-3</v>
      </c>
      <c r="L36" s="179">
        <v>1.2E-2</v>
      </c>
      <c r="M36" s="179">
        <v>4.0000000000000001E-3</v>
      </c>
      <c r="N36" s="265">
        <v>1E-3</v>
      </c>
      <c r="O36" s="179" t="s">
        <v>561</v>
      </c>
      <c r="P36" s="265" t="s">
        <v>306</v>
      </c>
      <c r="Q36" s="393">
        <v>1E-3</v>
      </c>
      <c r="R36" s="239">
        <f>IF(MAXA(F36:Q36)&lt;0.001,"&lt;0.001",MAXA(F36:Q36))</f>
        <v>1.2E-2</v>
      </c>
      <c r="S36" s="179" t="str">
        <f>IF(MINA(F36:Q36)&lt;0.001,"&lt;0.001",MINA(F36:Q36))</f>
        <v>&lt;0.001</v>
      </c>
      <c r="T36" s="393">
        <f>IF(AVERAGEA(F36:Q36)&lt;0.001,"&lt;0.001",AVERAGEA(F36:Q36))</f>
        <v>3.0000000000000005E-3</v>
      </c>
      <c r="U36" s="578"/>
      <c r="V36" s="2"/>
    </row>
    <row r="37" spans="2:22" ht="12" customHeight="1" x14ac:dyDescent="0.15">
      <c r="B37" s="19">
        <f t="shared" si="0"/>
        <v>24</v>
      </c>
      <c r="C37" s="592" t="s">
        <v>38</v>
      </c>
      <c r="D37" s="593"/>
      <c r="E37" s="11" t="s">
        <v>112</v>
      </c>
      <c r="F37" s="173" t="s">
        <v>608</v>
      </c>
      <c r="G37" s="265">
        <v>3.0000000000000001E-3</v>
      </c>
      <c r="H37" s="265">
        <v>4.0000000000000001E-3</v>
      </c>
      <c r="I37" s="179">
        <v>6.0000000000000001E-3</v>
      </c>
      <c r="J37" s="265">
        <v>6.0000000000000001E-3</v>
      </c>
      <c r="K37" s="179">
        <v>3.0000000000000001E-3</v>
      </c>
      <c r="L37" s="179">
        <v>0.01</v>
      </c>
      <c r="M37" s="179">
        <v>6.0000000000000001E-3</v>
      </c>
      <c r="N37" s="265" t="s">
        <v>323</v>
      </c>
      <c r="O37" s="265" t="s">
        <v>323</v>
      </c>
      <c r="P37" s="179" t="s">
        <v>564</v>
      </c>
      <c r="Q37" s="393" t="s">
        <v>323</v>
      </c>
      <c r="R37" s="239">
        <f>IF(MAXA(F37:Q37)&lt;0.003,"&lt;0.003",MAXA(F37:Q37))</f>
        <v>0.01</v>
      </c>
      <c r="S37" s="179" t="str">
        <f>IF(MINA(F37:Q37)&lt;0.003,"&lt;0.003",MINA(F37:Q37))</f>
        <v>&lt;0.003</v>
      </c>
      <c r="T37" s="393">
        <f>IF(AVERAGEA(F37:Q37)&lt;0.003,"&lt;0.003",AVERAGEA(F37:Q37))</f>
        <v>3.1666666666666666E-3</v>
      </c>
      <c r="U37" s="578"/>
      <c r="V37" s="2"/>
    </row>
    <row r="38" spans="2:22" ht="12" customHeight="1" x14ac:dyDescent="0.15">
      <c r="B38" s="19">
        <f t="shared" si="0"/>
        <v>25</v>
      </c>
      <c r="C38" s="592" t="s">
        <v>192</v>
      </c>
      <c r="D38" s="593"/>
      <c r="E38" s="11" t="s">
        <v>90</v>
      </c>
      <c r="F38" s="173">
        <v>1E-3</v>
      </c>
      <c r="G38" s="265" t="s">
        <v>306</v>
      </c>
      <c r="H38" s="179">
        <v>1E-3</v>
      </c>
      <c r="I38" s="179">
        <v>1E-3</v>
      </c>
      <c r="J38" s="265" t="s">
        <v>306</v>
      </c>
      <c r="K38" s="179">
        <v>2E-3</v>
      </c>
      <c r="L38" s="179">
        <v>1E-3</v>
      </c>
      <c r="M38" s="265">
        <v>1E-3</v>
      </c>
      <c r="N38" s="179">
        <v>1E-3</v>
      </c>
      <c r="O38" s="265">
        <v>1E-3</v>
      </c>
      <c r="P38" s="265" t="s">
        <v>306</v>
      </c>
      <c r="Q38" s="393">
        <v>1E-3</v>
      </c>
      <c r="R38" s="179">
        <f>IF(MAXA(F38:Q38)&lt;0.001,"&lt;0.001",MAXA(F38:Q38))</f>
        <v>2E-3</v>
      </c>
      <c r="S38" s="179" t="str">
        <f>IF(MINA(F38:Q38)&lt;0.001,"&lt;0.001",MINA(F38:Q38))</f>
        <v>&lt;0.001</v>
      </c>
      <c r="T38" s="393" t="str">
        <f>IF(AVERAGEA(F38:Q38)&lt;0.001,"&lt;0.001",AVERAGEA(F38:Q38))</f>
        <v>&lt;0.001</v>
      </c>
      <c r="U38" s="578"/>
      <c r="V38" s="2"/>
    </row>
    <row r="39" spans="2:22" ht="12" customHeight="1" x14ac:dyDescent="0.15">
      <c r="B39" s="19">
        <f t="shared" si="0"/>
        <v>26</v>
      </c>
      <c r="C39" s="592" t="s">
        <v>39</v>
      </c>
      <c r="D39" s="593"/>
      <c r="E39" s="11" t="s">
        <v>93</v>
      </c>
      <c r="F39" s="173" t="s">
        <v>306</v>
      </c>
      <c r="G39" s="265" t="s">
        <v>306</v>
      </c>
      <c r="H39" s="265" t="s">
        <v>306</v>
      </c>
      <c r="I39" s="265" t="s">
        <v>306</v>
      </c>
      <c r="J39" s="265" t="s">
        <v>593</v>
      </c>
      <c r="K39" s="265" t="s">
        <v>306</v>
      </c>
      <c r="L39" s="265" t="s">
        <v>306</v>
      </c>
      <c r="M39" s="265" t="s">
        <v>306</v>
      </c>
      <c r="N39" s="265" t="s">
        <v>306</v>
      </c>
      <c r="O39" s="265" t="s">
        <v>306</v>
      </c>
      <c r="P39" s="265" t="s">
        <v>306</v>
      </c>
      <c r="Q39" s="393" t="s">
        <v>568</v>
      </c>
      <c r="R39" s="239" t="str">
        <f>IF(MAXA(F39:Q39)&lt;0.001,"&lt;0.001",MAXA(F39:Q39))</f>
        <v>&lt;0.001</v>
      </c>
      <c r="S39" s="179" t="str">
        <f>IF(MINA(F39:Q39)&lt;0.001,"&lt;0.001",MINA(F39:Q39))</f>
        <v>&lt;0.001</v>
      </c>
      <c r="T39" s="393" t="str">
        <f>IF(AVERAGEA(F39:Q39)&lt;0.001,"&lt;0.001",AVERAGEA(F39:Q39))</f>
        <v>&lt;0.001</v>
      </c>
      <c r="U39" s="578"/>
      <c r="V39" s="2"/>
    </row>
    <row r="40" spans="2:22" ht="12" customHeight="1" x14ac:dyDescent="0.15">
      <c r="B40" s="19">
        <f t="shared" si="0"/>
        <v>27</v>
      </c>
      <c r="C40" s="592" t="s">
        <v>40</v>
      </c>
      <c r="D40" s="593"/>
      <c r="E40" s="11" t="s">
        <v>90</v>
      </c>
      <c r="F40" s="173" t="s">
        <v>308</v>
      </c>
      <c r="G40" s="265">
        <v>4.0000000000000001E-3</v>
      </c>
      <c r="H40" s="265">
        <v>6.0000000000000001E-3</v>
      </c>
      <c r="I40" s="179">
        <v>8.9999999999999993E-3</v>
      </c>
      <c r="J40" s="179">
        <v>6.0000000000000001E-3</v>
      </c>
      <c r="K40" s="179">
        <v>8.0000000000000002E-3</v>
      </c>
      <c r="L40" s="179">
        <v>1.7999999999999999E-2</v>
      </c>
      <c r="M40" s="179">
        <v>8.0000000000000002E-3</v>
      </c>
      <c r="N40" s="179">
        <v>4.0000000000000001E-3</v>
      </c>
      <c r="O40" s="265" t="s">
        <v>308</v>
      </c>
      <c r="P40" s="265" t="s">
        <v>565</v>
      </c>
      <c r="Q40" s="393">
        <v>4.0000000000000001E-3</v>
      </c>
      <c r="R40" s="239">
        <f>IF(MAXA(F40:Q40)&lt;0.004,"&lt;0.004",MAXA(F40:Q40))</f>
        <v>1.7999999999999999E-2</v>
      </c>
      <c r="S40" s="179" t="str">
        <f>IF(MINA(F40:Q40)&lt;0.004,"&lt;0.004",MINA(F40:Q40))</f>
        <v>&lt;0.004</v>
      </c>
      <c r="T40" s="393">
        <f>IF(AVERAGEA(F40:Q40)&lt;0.004,"&lt;0.004",AVERAGEA(F40:Q40))</f>
        <v>5.5833333333333334E-3</v>
      </c>
      <c r="U40" s="578"/>
      <c r="V40" s="2"/>
    </row>
    <row r="41" spans="2:22" ht="12" customHeight="1" x14ac:dyDescent="0.15">
      <c r="B41" s="19">
        <f t="shared" si="0"/>
        <v>28</v>
      </c>
      <c r="C41" s="592" t="s">
        <v>41</v>
      </c>
      <c r="D41" s="593"/>
      <c r="E41" s="11" t="s">
        <v>112</v>
      </c>
      <c r="F41" s="175" t="s">
        <v>323</v>
      </c>
      <c r="G41" s="179" t="s">
        <v>323</v>
      </c>
      <c r="H41" s="179" t="s">
        <v>323</v>
      </c>
      <c r="I41" s="179">
        <v>3.0000000000000001E-3</v>
      </c>
      <c r="J41" s="179" t="s">
        <v>323</v>
      </c>
      <c r="K41" s="179" t="s">
        <v>323</v>
      </c>
      <c r="L41" s="179">
        <v>6.0000000000000001E-3</v>
      </c>
      <c r="M41" s="179">
        <v>5.0000000000000001E-3</v>
      </c>
      <c r="N41" s="179" t="s">
        <v>323</v>
      </c>
      <c r="O41" s="179" t="s">
        <v>323</v>
      </c>
      <c r="P41" s="179" t="s">
        <v>323</v>
      </c>
      <c r="Q41" s="393" t="s">
        <v>323</v>
      </c>
      <c r="R41" s="179">
        <f>IF(MAXA(F41:Q41)&lt;0.003,"&lt;0.003",MAXA(F41:Q41))</f>
        <v>6.0000000000000001E-3</v>
      </c>
      <c r="S41" s="179" t="str">
        <f>IF(MINA(F41:Q41)&lt;0.003,"&lt;0.003",MINA(F41:Q41))</f>
        <v>&lt;0.003</v>
      </c>
      <c r="T41" s="393" t="str">
        <f>IF(AVERAGEA(F41:Q41)&lt;0.003,"&lt;0.003",AVERAGEA(F41:Q41))</f>
        <v>&lt;0.003</v>
      </c>
      <c r="U41" s="578"/>
      <c r="V41" s="2"/>
    </row>
    <row r="42" spans="2:22" ht="12" customHeight="1" x14ac:dyDescent="0.15">
      <c r="B42" s="19">
        <f t="shared" si="0"/>
        <v>29</v>
      </c>
      <c r="C42" s="592" t="s">
        <v>193</v>
      </c>
      <c r="D42" s="593"/>
      <c r="E42" s="11" t="s">
        <v>112</v>
      </c>
      <c r="F42" s="175">
        <v>1E-3</v>
      </c>
      <c r="G42" s="179">
        <v>2E-3</v>
      </c>
      <c r="H42" s="179">
        <v>2E-3</v>
      </c>
      <c r="I42" s="179">
        <v>3.0000000000000001E-3</v>
      </c>
      <c r="J42" s="179">
        <v>2E-3</v>
      </c>
      <c r="K42" s="179">
        <v>3.0000000000000001E-3</v>
      </c>
      <c r="L42" s="179">
        <v>5.0000000000000001E-3</v>
      </c>
      <c r="M42" s="179">
        <v>3.0000000000000001E-3</v>
      </c>
      <c r="N42" s="179">
        <v>2E-3</v>
      </c>
      <c r="O42" s="179">
        <v>1E-3</v>
      </c>
      <c r="P42" s="179" t="s">
        <v>306</v>
      </c>
      <c r="Q42" s="393">
        <v>2E-3</v>
      </c>
      <c r="R42" s="239">
        <f>IF(MAXA(F42:Q42)&lt;0.001,"&lt;0.001",MAXA(F42:Q42))</f>
        <v>5.0000000000000001E-3</v>
      </c>
      <c r="S42" s="179" t="str">
        <f>IF(MINA(F42:Q42)&lt;0.001,"&lt;0.001",MINA(F42:Q42))</f>
        <v>&lt;0.001</v>
      </c>
      <c r="T42" s="393">
        <f>IF(AVERAGEA(F42:Q42)&lt;0.001,"&lt;0.001",AVERAGEA(F42:Q42))</f>
        <v>2.166666666666667E-3</v>
      </c>
      <c r="U42" s="578"/>
      <c r="V42" s="2"/>
    </row>
    <row r="43" spans="2:22" ht="12" customHeight="1" x14ac:dyDescent="0.15">
      <c r="B43" s="19">
        <f t="shared" si="0"/>
        <v>30</v>
      </c>
      <c r="C43" s="592" t="s">
        <v>194</v>
      </c>
      <c r="D43" s="593"/>
      <c r="E43" s="11" t="s">
        <v>115</v>
      </c>
      <c r="F43" s="175" t="s">
        <v>306</v>
      </c>
      <c r="G43" s="179" t="s">
        <v>306</v>
      </c>
      <c r="H43" s="179" t="s">
        <v>306</v>
      </c>
      <c r="I43" s="179" t="s">
        <v>306</v>
      </c>
      <c r="J43" s="179" t="s">
        <v>306</v>
      </c>
      <c r="K43" s="179" t="s">
        <v>306</v>
      </c>
      <c r="L43" s="179" t="s">
        <v>306</v>
      </c>
      <c r="M43" s="179" t="s">
        <v>306</v>
      </c>
      <c r="N43" s="179" t="s">
        <v>306</v>
      </c>
      <c r="O43" s="179" t="s">
        <v>306</v>
      </c>
      <c r="P43" s="179" t="s">
        <v>306</v>
      </c>
      <c r="Q43" s="397" t="s">
        <v>306</v>
      </c>
      <c r="R43" s="239" t="str">
        <f>IF(MAXA(F43:Q43)&lt;0.001,"&lt;0.001",MAXA(F43:Q43))</f>
        <v>&lt;0.001</v>
      </c>
      <c r="S43" s="179" t="str">
        <f>IF(MINA(F43:Q43)&lt;0.001,"&lt;0.001",MINA(F43:Q43))</f>
        <v>&lt;0.001</v>
      </c>
      <c r="T43" s="393" t="str">
        <f>IF(AVERAGEA(F43:Q43)&lt;0.001,"&lt;0.001",AVERAGEA(F43:Q43))</f>
        <v>&lt;0.001</v>
      </c>
      <c r="U43" s="578"/>
      <c r="V43" s="2"/>
    </row>
    <row r="44" spans="2:22" ht="12" customHeight="1" x14ac:dyDescent="0.15">
      <c r="B44" s="19">
        <f t="shared" si="0"/>
        <v>31</v>
      </c>
      <c r="C44" s="592" t="s">
        <v>195</v>
      </c>
      <c r="D44" s="593"/>
      <c r="E44" s="11" t="s">
        <v>116</v>
      </c>
      <c r="F44" s="175" t="s">
        <v>321</v>
      </c>
      <c r="G44" s="179" t="s">
        <v>321</v>
      </c>
      <c r="H44" s="179" t="s">
        <v>321</v>
      </c>
      <c r="I44" s="179" t="s">
        <v>321</v>
      </c>
      <c r="J44" s="179" t="s">
        <v>321</v>
      </c>
      <c r="K44" s="179" t="s">
        <v>321</v>
      </c>
      <c r="L44" s="179" t="s">
        <v>321</v>
      </c>
      <c r="M44" s="179" t="s">
        <v>321</v>
      </c>
      <c r="N44" s="179" t="s">
        <v>321</v>
      </c>
      <c r="O44" s="179" t="s">
        <v>321</v>
      </c>
      <c r="P44" s="179" t="s">
        <v>321</v>
      </c>
      <c r="Q44" s="393" t="s">
        <v>321</v>
      </c>
      <c r="R44" s="239" t="str">
        <f>IF(MAXA(F44:Q44)&lt;0.008,"&lt;0.008",MAXA(F44:Q44))</f>
        <v>&lt;0.008</v>
      </c>
      <c r="S44" s="179" t="str">
        <f>IF(MINA(F44:Q44)&lt;0.008,"&lt;0.008",MINA(F44:Q44))</f>
        <v>&lt;0.008</v>
      </c>
      <c r="T44" s="393" t="str">
        <f>IF(AVERAGEA(F44:Q44)&lt;0.008,"&lt;0.008",AVERAGEA(F44:Q44))</f>
        <v>&lt;0.008</v>
      </c>
      <c r="U44" s="596"/>
      <c r="V44" s="2"/>
    </row>
    <row r="45" spans="2:22" ht="12" customHeight="1" x14ac:dyDescent="0.15">
      <c r="B45" s="19">
        <f t="shared" si="0"/>
        <v>32</v>
      </c>
      <c r="C45" s="592" t="s">
        <v>42</v>
      </c>
      <c r="D45" s="593"/>
      <c r="E45" s="11" t="s">
        <v>110</v>
      </c>
      <c r="F45" s="177" t="s">
        <v>313</v>
      </c>
      <c r="G45" s="268"/>
      <c r="H45" s="268"/>
      <c r="I45" s="178" t="s">
        <v>313</v>
      </c>
      <c r="J45" s="178"/>
      <c r="K45" s="178"/>
      <c r="L45" s="178" t="s">
        <v>313</v>
      </c>
      <c r="M45" s="158"/>
      <c r="N45" s="178"/>
      <c r="O45" s="178" t="s">
        <v>313</v>
      </c>
      <c r="P45" s="178"/>
      <c r="Q45" s="396"/>
      <c r="R45" s="178" t="str">
        <f>IF(MAXA(F45:Q45)&lt;0.01,"&lt;0.01",MAXA(F45:Q45))</f>
        <v>&lt;0.01</v>
      </c>
      <c r="S45" s="178" t="str">
        <f>IF(MINA(F45:Q45)&lt;0.01,"&lt;0.01",MINA(F45:Q45))</f>
        <v>&lt;0.01</v>
      </c>
      <c r="T45" s="396" t="str">
        <f>IF(AVERAGEA(F45:Q45)&lt;0.01,"&lt;0.01",AVERAGEA(F45:Q45))</f>
        <v>&lt;0.01</v>
      </c>
      <c r="U45" s="594" t="s">
        <v>60</v>
      </c>
      <c r="V45" s="2"/>
    </row>
    <row r="46" spans="2:22" ht="12" customHeight="1" x14ac:dyDescent="0.15">
      <c r="B46" s="19">
        <f t="shared" si="0"/>
        <v>33</v>
      </c>
      <c r="C46" s="592" t="s">
        <v>43</v>
      </c>
      <c r="D46" s="593"/>
      <c r="E46" s="11" t="s">
        <v>89</v>
      </c>
      <c r="F46" s="173" t="s">
        <v>313</v>
      </c>
      <c r="G46" s="268"/>
      <c r="H46" s="265"/>
      <c r="I46" s="178">
        <v>0.03</v>
      </c>
      <c r="J46" s="178"/>
      <c r="K46" s="178"/>
      <c r="L46" s="178">
        <v>0.01</v>
      </c>
      <c r="M46" s="158"/>
      <c r="N46" s="178"/>
      <c r="O46" s="178" t="s">
        <v>313</v>
      </c>
      <c r="P46" s="178"/>
      <c r="Q46" s="396"/>
      <c r="R46" s="178">
        <f>IF(MAXA(F46:Q46)&lt;0.01,"&lt;0.01",MAXA(F46:Q46))</f>
        <v>0.03</v>
      </c>
      <c r="S46" s="178" t="str">
        <f>IF(MINA(F46:Q46)&lt;0.01,"&lt;0.01",MINA(F46:Q46))</f>
        <v>&lt;0.01</v>
      </c>
      <c r="T46" s="396">
        <f>IF(AVERAGEA(F46:Q46)&lt;0.01,"&lt;0.01",AVERAGEA(F46:Q46))</f>
        <v>0.01</v>
      </c>
      <c r="U46" s="578"/>
      <c r="V46" s="2"/>
    </row>
    <row r="47" spans="2:22" ht="12" customHeight="1" x14ac:dyDescent="0.15">
      <c r="B47" s="19">
        <f t="shared" si="0"/>
        <v>34</v>
      </c>
      <c r="C47" s="592" t="s">
        <v>44</v>
      </c>
      <c r="D47" s="593"/>
      <c r="E47" s="11" t="s">
        <v>95</v>
      </c>
      <c r="F47" s="173" t="s">
        <v>324</v>
      </c>
      <c r="G47" s="268"/>
      <c r="H47" s="265"/>
      <c r="I47" s="179" t="s">
        <v>324</v>
      </c>
      <c r="J47" s="178"/>
      <c r="K47" s="178"/>
      <c r="L47" s="179" t="s">
        <v>324</v>
      </c>
      <c r="M47" s="158"/>
      <c r="N47" s="178"/>
      <c r="O47" s="179" t="s">
        <v>324</v>
      </c>
      <c r="P47" s="178"/>
      <c r="Q47" s="396"/>
      <c r="R47" s="179" t="str">
        <f>IF(MAXA(F47:Q47)&lt;0.03,"&lt;0.03",MAXA(F47:Q47))</f>
        <v>&lt;0.03</v>
      </c>
      <c r="S47" s="178" t="str">
        <f>IF(MINA(F47:Q47)&lt;0.03,"&lt;0.03",MINA(F47:Q47))</f>
        <v>&lt;0.03</v>
      </c>
      <c r="T47" s="393" t="str">
        <f>IF(AVERAGEA(F47:Q47)&lt;0.03,"&lt;0.03",AVERAGEA(F47:Q47))</f>
        <v>&lt;0.03</v>
      </c>
      <c r="U47" s="578"/>
      <c r="V47" s="2"/>
    </row>
    <row r="48" spans="2:22" ht="12" customHeight="1" x14ac:dyDescent="0.15">
      <c r="B48" s="19">
        <f t="shared" si="0"/>
        <v>35</v>
      </c>
      <c r="C48" s="592" t="s">
        <v>45</v>
      </c>
      <c r="D48" s="593"/>
      <c r="E48" s="11" t="s">
        <v>110</v>
      </c>
      <c r="F48" s="177" t="s">
        <v>313</v>
      </c>
      <c r="G48" s="268"/>
      <c r="H48" s="268"/>
      <c r="I48" s="178" t="s">
        <v>313</v>
      </c>
      <c r="J48" s="178"/>
      <c r="K48" s="178"/>
      <c r="L48" s="178" t="s">
        <v>313</v>
      </c>
      <c r="M48" s="158"/>
      <c r="N48" s="178"/>
      <c r="O48" s="178" t="s">
        <v>313</v>
      </c>
      <c r="P48" s="178"/>
      <c r="Q48" s="396"/>
      <c r="R48" s="178" t="str">
        <f>IF(MAXA(F48:Q48)&lt;0.01,"&lt;0.01",MAXA(F48:Q48))</f>
        <v>&lt;0.01</v>
      </c>
      <c r="S48" s="178" t="str">
        <f>IF(MINA(F48:Q48)&lt;0.01,"&lt;0.01",MINA(F48:Q48))</f>
        <v>&lt;0.01</v>
      </c>
      <c r="T48" s="396" t="str">
        <f>IF(AVERAGEA(F48:Q48)&lt;0.01,"&lt;0.01",AVERAGEA(F48:Q48))</f>
        <v>&lt;0.01</v>
      </c>
      <c r="U48" s="578"/>
      <c r="V48" s="2"/>
    </row>
    <row r="49" spans="2:22" ht="12" customHeight="1" x14ac:dyDescent="0.15">
      <c r="B49" s="19">
        <f t="shared" si="0"/>
        <v>36</v>
      </c>
      <c r="C49" s="592" t="s">
        <v>46</v>
      </c>
      <c r="D49" s="593"/>
      <c r="E49" s="11" t="s">
        <v>65</v>
      </c>
      <c r="F49" s="170">
        <v>9.8000000000000007</v>
      </c>
      <c r="G49" s="269"/>
      <c r="H49" s="269"/>
      <c r="I49" s="234">
        <v>12</v>
      </c>
      <c r="J49" s="269"/>
      <c r="K49" s="91"/>
      <c r="L49" s="234">
        <v>13</v>
      </c>
      <c r="M49" s="159"/>
      <c r="N49" s="91"/>
      <c r="O49" s="234">
        <v>10</v>
      </c>
      <c r="P49" s="91"/>
      <c r="Q49" s="395"/>
      <c r="R49" s="234">
        <f>IF(MAXA(F49:Q49)&lt;0.5,"&lt;0.5",MAXA(F49:Q49))</f>
        <v>13</v>
      </c>
      <c r="S49" s="91">
        <f>IF(MINA(F49:Q49)&lt;0.5,"&lt;0.5",MINA(F49:Q49))</f>
        <v>9.8000000000000007</v>
      </c>
      <c r="T49" s="392">
        <f>IF(AVERAGEA(F49:Q49)&lt;0.5,"&lt;0.5",AVERAGEA(F49:Q49))</f>
        <v>11.2</v>
      </c>
      <c r="U49" s="578"/>
      <c r="V49" s="2"/>
    </row>
    <row r="50" spans="2:22" ht="12" customHeight="1" x14ac:dyDescent="0.15">
      <c r="B50" s="19">
        <f t="shared" si="0"/>
        <v>37</v>
      </c>
      <c r="C50" s="592" t="s">
        <v>47</v>
      </c>
      <c r="D50" s="593"/>
      <c r="E50" s="11" t="s">
        <v>107</v>
      </c>
      <c r="F50" s="173" t="s">
        <v>306</v>
      </c>
      <c r="G50" s="265"/>
      <c r="H50" s="265"/>
      <c r="I50" s="179" t="s">
        <v>306</v>
      </c>
      <c r="J50" s="179"/>
      <c r="K50" s="179"/>
      <c r="L50" s="179" t="s">
        <v>306</v>
      </c>
      <c r="M50" s="157"/>
      <c r="N50" s="179"/>
      <c r="O50" s="179" t="s">
        <v>306</v>
      </c>
      <c r="P50" s="179"/>
      <c r="Q50" s="393"/>
      <c r="R50" s="239" t="str">
        <f>IF(MAXA(F50:Q50)&lt;0.001,"&lt;0.001",MAXA(F50:Q50))</f>
        <v>&lt;0.001</v>
      </c>
      <c r="S50" s="179" t="str">
        <f>IF(MINA(F50:Q50)&lt;0.001,"&lt;0.001",MINA(F50:Q50))</f>
        <v>&lt;0.001</v>
      </c>
      <c r="T50" s="393" t="str">
        <f>IF(AVERAGEA(F50:Q50)&lt;0.001,"&lt;0.001",AVERAGEA(F50:Q50))</f>
        <v>&lt;0.001</v>
      </c>
      <c r="U50" s="596"/>
      <c r="V50" s="2"/>
    </row>
    <row r="51" spans="2:22" ht="12" customHeight="1" x14ac:dyDescent="0.15">
      <c r="B51" s="19">
        <f t="shared" si="0"/>
        <v>38</v>
      </c>
      <c r="C51" s="592" t="s">
        <v>48</v>
      </c>
      <c r="D51" s="593"/>
      <c r="E51" s="11" t="s">
        <v>65</v>
      </c>
      <c r="F51" s="171">
        <v>13</v>
      </c>
      <c r="G51" s="264">
        <v>12</v>
      </c>
      <c r="H51" s="234">
        <v>11</v>
      </c>
      <c r="I51" s="234">
        <v>10</v>
      </c>
      <c r="J51" s="234">
        <v>11</v>
      </c>
      <c r="K51" s="234">
        <v>14</v>
      </c>
      <c r="L51" s="234">
        <v>12</v>
      </c>
      <c r="M51" s="234">
        <v>12</v>
      </c>
      <c r="N51" s="234">
        <v>14</v>
      </c>
      <c r="O51" s="234">
        <v>16</v>
      </c>
      <c r="P51" s="234">
        <v>16</v>
      </c>
      <c r="Q51" s="392">
        <v>15</v>
      </c>
      <c r="R51" s="234">
        <f>IF(MAXA(F51:Q51)&lt;0.1,"&lt;0.1",MAXA(F51:Q51))</f>
        <v>16</v>
      </c>
      <c r="S51" s="234">
        <f>IF(MINA(F51:Q51)&lt;0.1,"&lt;0.1",MINA(F51:Q51))</f>
        <v>10</v>
      </c>
      <c r="T51" s="392">
        <f>IF(AVERAGEA(F51:Q51)&lt;0.1,"&lt;0.1",AVERAGEA(F51:Q51))</f>
        <v>13</v>
      </c>
      <c r="U51" s="9" t="s">
        <v>499</v>
      </c>
      <c r="V51" s="2"/>
    </row>
    <row r="52" spans="2:22" ht="12" customHeight="1" x14ac:dyDescent="0.15">
      <c r="B52" s="19">
        <f t="shared" si="0"/>
        <v>39</v>
      </c>
      <c r="C52" s="592" t="s">
        <v>49</v>
      </c>
      <c r="D52" s="593"/>
      <c r="E52" s="11" t="s">
        <v>66</v>
      </c>
      <c r="F52" s="171">
        <v>21</v>
      </c>
      <c r="G52" s="264"/>
      <c r="H52" s="234"/>
      <c r="I52" s="234">
        <v>25</v>
      </c>
      <c r="J52" s="234"/>
      <c r="K52" s="234"/>
      <c r="L52" s="234">
        <v>28</v>
      </c>
      <c r="M52" s="234"/>
      <c r="N52" s="234"/>
      <c r="O52" s="234">
        <v>26</v>
      </c>
      <c r="P52" s="234"/>
      <c r="Q52" s="392"/>
      <c r="R52" s="234">
        <f>IF(MAXA(F52:Q52)&lt;3,"&lt;3",MAXA(F52:Q52))</f>
        <v>28</v>
      </c>
      <c r="S52" s="234">
        <f>IF(MINA(F52:Q52)&lt;3,"&lt;3",MINA(F52:Q52))</f>
        <v>21</v>
      </c>
      <c r="T52" s="392">
        <f>IF(AVERAGEA(F52:Q52)&lt;3,"&lt;3",AVERAGEA(F52:Q52))</f>
        <v>25</v>
      </c>
      <c r="U52" s="595" t="s">
        <v>500</v>
      </c>
      <c r="V52" s="2"/>
    </row>
    <row r="53" spans="2:22" ht="12" customHeight="1" x14ac:dyDescent="0.15">
      <c r="B53" s="19">
        <f t="shared" si="0"/>
        <v>40</v>
      </c>
      <c r="C53" s="592" t="s">
        <v>50</v>
      </c>
      <c r="D53" s="593"/>
      <c r="E53" s="11" t="s">
        <v>67</v>
      </c>
      <c r="F53" s="171">
        <v>61</v>
      </c>
      <c r="G53" s="264"/>
      <c r="H53" s="234"/>
      <c r="I53" s="234">
        <v>74</v>
      </c>
      <c r="J53" s="234"/>
      <c r="K53" s="234"/>
      <c r="L53" s="234">
        <v>75</v>
      </c>
      <c r="M53" s="234"/>
      <c r="N53" s="234"/>
      <c r="O53" s="234">
        <v>65</v>
      </c>
      <c r="P53" s="234"/>
      <c r="Q53" s="392"/>
      <c r="R53" s="234">
        <f>IF(MAXA(F53:Q53)&lt;1,"&lt;1",MAXA(F53:Q53))</f>
        <v>75</v>
      </c>
      <c r="S53" s="234">
        <f>IF(MINA(F53:Q53)&lt;1,"&lt;1",MINA(F53:Q53))</f>
        <v>61</v>
      </c>
      <c r="T53" s="392">
        <f>IF(AVERAGEA(F53:Q53)&lt;1,"&lt;1",AVERAGEA(F53:Q53))</f>
        <v>68.75</v>
      </c>
      <c r="U53" s="595"/>
      <c r="V53" s="2"/>
    </row>
    <row r="54" spans="2:22" ht="12" customHeight="1" x14ac:dyDescent="0.15">
      <c r="B54" s="19">
        <f t="shared" si="0"/>
        <v>41</v>
      </c>
      <c r="C54" s="592" t="s">
        <v>51</v>
      </c>
      <c r="D54" s="593"/>
      <c r="E54" s="11" t="s">
        <v>89</v>
      </c>
      <c r="F54" s="177" t="s">
        <v>314</v>
      </c>
      <c r="G54" s="268"/>
      <c r="H54" s="268"/>
      <c r="I54" s="178" t="s">
        <v>314</v>
      </c>
      <c r="J54" s="178"/>
      <c r="K54" s="178"/>
      <c r="L54" s="178" t="s">
        <v>314</v>
      </c>
      <c r="M54" s="178"/>
      <c r="N54" s="178"/>
      <c r="O54" s="178" t="s">
        <v>314</v>
      </c>
      <c r="P54" s="178"/>
      <c r="Q54" s="396"/>
      <c r="R54" s="178" t="str">
        <f>IF(MAXA(F54:Q54)&lt;0.02,"&lt;0.02",MAXA(F54:Q54))</f>
        <v>&lt;0.02</v>
      </c>
      <c r="S54" s="178" t="str">
        <f>IF(MINA(F54:Q54)&lt;0.02,"&lt;0.02",MINA(F54:Q54))</f>
        <v>&lt;0.02</v>
      </c>
      <c r="T54" s="396" t="str">
        <f>IF(AVERAGEA(F54:Q54)&lt;0.02,"&lt;0.02",AVERAGEA(F54:Q54))</f>
        <v>&lt;0.02</v>
      </c>
      <c r="U54" s="595" t="s">
        <v>62</v>
      </c>
      <c r="V54" s="2"/>
    </row>
    <row r="55" spans="2:22" ht="12" customHeight="1" x14ac:dyDescent="0.15">
      <c r="B55" s="19">
        <f t="shared" si="0"/>
        <v>42</v>
      </c>
      <c r="C55" s="592" t="s">
        <v>246</v>
      </c>
      <c r="D55" s="593"/>
      <c r="E55" s="11" t="s">
        <v>117</v>
      </c>
      <c r="F55" s="181" t="s">
        <v>315</v>
      </c>
      <c r="G55" s="238">
        <v>9.9999999999999995E-7</v>
      </c>
      <c r="H55" s="299">
        <v>9.9999999999999995E-7</v>
      </c>
      <c r="I55" s="238" t="s">
        <v>315</v>
      </c>
      <c r="J55" s="238" t="s">
        <v>544</v>
      </c>
      <c r="K55" s="238" t="s">
        <v>315</v>
      </c>
      <c r="L55" s="238">
        <v>9.9999999999999995E-7</v>
      </c>
      <c r="M55" s="238" t="s">
        <v>315</v>
      </c>
      <c r="N55" s="238" t="s">
        <v>315</v>
      </c>
      <c r="O55" s="238" t="s">
        <v>315</v>
      </c>
      <c r="P55" s="238" t="s">
        <v>315</v>
      </c>
      <c r="Q55" s="492" t="s">
        <v>315</v>
      </c>
      <c r="R55" s="495">
        <f>IF(MAXA(F55:Q55)&lt;0.000001,"&lt;0.000001",MAXA(F55:Q55))</f>
        <v>9.9999999999999995E-7</v>
      </c>
      <c r="S55" s="238" t="str">
        <f>IF(MINA(F55:Q55)&lt;0.000001,"&lt;0.000001",MINA(F55:Q55))</f>
        <v>&lt;0.000001</v>
      </c>
      <c r="T55" s="492" t="str">
        <f>IF(AVERAGEA(F55:Q55)&lt;0.000001,"&lt;0.000001",AVERAGEA(F55:Q55))</f>
        <v>&lt;0.000001</v>
      </c>
      <c r="U55" s="595"/>
      <c r="V55" s="2"/>
    </row>
    <row r="56" spans="2:22" ht="12" customHeight="1" x14ac:dyDescent="0.15">
      <c r="B56" s="19">
        <f t="shared" si="0"/>
        <v>43</v>
      </c>
      <c r="C56" s="592" t="s">
        <v>247</v>
      </c>
      <c r="D56" s="593"/>
      <c r="E56" s="11" t="s">
        <v>117</v>
      </c>
      <c r="F56" s="181" t="s">
        <v>315</v>
      </c>
      <c r="G56" s="238" t="s">
        <v>315</v>
      </c>
      <c r="H56" s="238" t="s">
        <v>315</v>
      </c>
      <c r="I56" s="238" t="s">
        <v>315</v>
      </c>
      <c r="J56" s="238" t="s">
        <v>315</v>
      </c>
      <c r="K56" s="238" t="s">
        <v>315</v>
      </c>
      <c r="L56" s="238" t="s">
        <v>315</v>
      </c>
      <c r="M56" s="238" t="s">
        <v>315</v>
      </c>
      <c r="N56" s="238" t="s">
        <v>315</v>
      </c>
      <c r="O56" s="238" t="s">
        <v>315</v>
      </c>
      <c r="P56" s="238" t="s">
        <v>315</v>
      </c>
      <c r="Q56" s="492" t="s">
        <v>315</v>
      </c>
      <c r="R56" s="496" t="str">
        <f>IF(MAXA(F56:Q56)&lt;0.000001,"&lt;0.000001",MAXA(F56:Q56))</f>
        <v>&lt;0.000001</v>
      </c>
      <c r="S56" s="497" t="str">
        <f>IF(MINA(F56:Q56)&lt;0.000001,"&lt;0.000001",MINA(F56:Q56))</f>
        <v>&lt;0.000001</v>
      </c>
      <c r="T56" s="498" t="str">
        <f>IF(AVERAGEA(F56:Q56)&lt;0.000001,"&lt;0.000001",AVERAGEA(F56:Q56))</f>
        <v>&lt;0.000001</v>
      </c>
      <c r="U56" s="595"/>
      <c r="V56" s="2"/>
    </row>
    <row r="57" spans="2:22" ht="12" customHeight="1" x14ac:dyDescent="0.15">
      <c r="B57" s="19">
        <f t="shared" si="0"/>
        <v>44</v>
      </c>
      <c r="C57" s="592" t="s">
        <v>52</v>
      </c>
      <c r="D57" s="593"/>
      <c r="E57" s="11" t="s">
        <v>96</v>
      </c>
      <c r="F57" s="175" t="s">
        <v>312</v>
      </c>
      <c r="G57" s="179"/>
      <c r="H57" s="265"/>
      <c r="I57" s="179" t="s">
        <v>540</v>
      </c>
      <c r="J57" s="179"/>
      <c r="K57" s="179"/>
      <c r="L57" s="179" t="s">
        <v>312</v>
      </c>
      <c r="M57" s="179"/>
      <c r="N57" s="179"/>
      <c r="O57" s="179" t="s">
        <v>312</v>
      </c>
      <c r="P57" s="179"/>
      <c r="Q57" s="393"/>
      <c r="R57" s="239" t="str">
        <f>IF(MAXA(F57:Q57)&lt;0.005,"&lt;0.005",MAXA(F57:Q57))</f>
        <v>&lt;0.005</v>
      </c>
      <c r="S57" s="179" t="str">
        <f>IF(MINA(F57:Q57)&lt;0.005,"&lt;0.005",MINA(F57:Q57))</f>
        <v>&lt;0.005</v>
      </c>
      <c r="T57" s="393" t="str">
        <f>IF(AVERAGEA(F57:Q57)&lt;0.005,"&lt;0.005",AVERAGEA(F57:Q57))</f>
        <v>&lt;0.005</v>
      </c>
      <c r="U57" s="595"/>
      <c r="V57" s="2"/>
    </row>
    <row r="58" spans="2:22" ht="12" customHeight="1" x14ac:dyDescent="0.15">
      <c r="B58" s="19">
        <f t="shared" si="0"/>
        <v>45</v>
      </c>
      <c r="C58" s="592" t="s">
        <v>53</v>
      </c>
      <c r="D58" s="593"/>
      <c r="E58" s="11" t="s">
        <v>118</v>
      </c>
      <c r="F58" s="202" t="s">
        <v>316</v>
      </c>
      <c r="G58" s="237"/>
      <c r="H58" s="270"/>
      <c r="I58" s="237" t="s">
        <v>316</v>
      </c>
      <c r="J58" s="237"/>
      <c r="K58" s="237"/>
      <c r="L58" s="237" t="s">
        <v>316</v>
      </c>
      <c r="M58" s="237"/>
      <c r="N58" s="237"/>
      <c r="O58" s="237" t="s">
        <v>316</v>
      </c>
      <c r="P58" s="237"/>
      <c r="Q58" s="397"/>
      <c r="R58" s="278" t="str">
        <f>IF(MAXA(F58:Q58)&lt;0.0005,"&lt;0.0005",MAXA(F58:Q58))</f>
        <v>&lt;0.0005</v>
      </c>
      <c r="S58" s="237" t="str">
        <f>IF(MINA(F58:Q58)&lt;0.0005,"&lt;0.0005",MINA(F58:Q58))</f>
        <v>&lt;0.0005</v>
      </c>
      <c r="T58" s="397" t="str">
        <f>IF(AVERAGEA(F58:Q58)&lt;0.0005,"&lt;0.0005",AVERAGEA(F58:Q58))</f>
        <v>&lt;0.0005</v>
      </c>
      <c r="U58" s="595"/>
      <c r="V58" s="2"/>
    </row>
    <row r="59" spans="2:22" ht="12" customHeight="1" x14ac:dyDescent="0.15">
      <c r="B59" s="28">
        <f t="shared" si="0"/>
        <v>46</v>
      </c>
      <c r="C59" s="592" t="s">
        <v>128</v>
      </c>
      <c r="D59" s="593"/>
      <c r="E59" s="11" t="s">
        <v>97</v>
      </c>
      <c r="F59" s="196" t="s">
        <v>325</v>
      </c>
      <c r="G59" s="91" t="s">
        <v>325</v>
      </c>
      <c r="H59" s="91">
        <v>0.5</v>
      </c>
      <c r="I59" s="91">
        <v>0.6</v>
      </c>
      <c r="J59" s="91">
        <v>0.3</v>
      </c>
      <c r="K59" s="91">
        <v>0.3</v>
      </c>
      <c r="L59" s="91">
        <v>0.8</v>
      </c>
      <c r="M59" s="91">
        <v>0.5</v>
      </c>
      <c r="N59" s="91">
        <v>0.3</v>
      </c>
      <c r="O59" s="91" t="s">
        <v>325</v>
      </c>
      <c r="P59" s="91" t="s">
        <v>325</v>
      </c>
      <c r="Q59" s="395" t="s">
        <v>325</v>
      </c>
      <c r="R59" s="170">
        <f>IF(MAXA(F59:Q59)&lt;0.3,"&lt;0.3",MAXA(F59:Q59))</f>
        <v>0.8</v>
      </c>
      <c r="S59" s="91" t="str">
        <f>IF(MINA(F59:Q59)&lt;0.3,"&lt;0.3",MINA(F59:Q59))</f>
        <v>&lt;0.3</v>
      </c>
      <c r="T59" s="395" t="str">
        <f>IF(AVERAGEA(F59:Q59)&lt;0.3,"&lt;0.3",AVERAGEA(F59:Q59))</f>
        <v>&lt;0.3</v>
      </c>
      <c r="U59" s="595" t="s">
        <v>63</v>
      </c>
      <c r="V59" s="2"/>
    </row>
    <row r="60" spans="2:22" ht="12" customHeight="1" x14ac:dyDescent="0.15">
      <c r="B60" s="19">
        <f t="shared" si="0"/>
        <v>47</v>
      </c>
      <c r="C60" s="592" t="s">
        <v>54</v>
      </c>
      <c r="D60" s="593"/>
      <c r="E60" s="11" t="s">
        <v>68</v>
      </c>
      <c r="F60" s="196">
        <v>7.3</v>
      </c>
      <c r="G60" s="91">
        <v>7.4</v>
      </c>
      <c r="H60" s="91">
        <v>7.4</v>
      </c>
      <c r="I60" s="91">
        <v>7.4</v>
      </c>
      <c r="J60" s="91">
        <v>7.4</v>
      </c>
      <c r="K60" s="91">
        <v>7.4</v>
      </c>
      <c r="L60" s="91">
        <v>7.4</v>
      </c>
      <c r="M60" s="91">
        <v>7.4</v>
      </c>
      <c r="N60" s="91">
        <v>7.4</v>
      </c>
      <c r="O60" s="91">
        <v>7.4</v>
      </c>
      <c r="P60" s="91">
        <v>7.4</v>
      </c>
      <c r="Q60" s="395">
        <v>7.3</v>
      </c>
      <c r="R60" s="170">
        <f>MAX(F60:Q60)</f>
        <v>7.4</v>
      </c>
      <c r="S60" s="91">
        <f>MIN(F60:Q60)</f>
        <v>7.3</v>
      </c>
      <c r="T60" s="395">
        <f>AVERAGEA(F60:Q60)</f>
        <v>7.3833333333333337</v>
      </c>
      <c r="U60" s="595"/>
      <c r="V60" s="2"/>
    </row>
    <row r="61" spans="2:22" ht="12" customHeight="1" x14ac:dyDescent="0.15">
      <c r="B61" s="19">
        <f t="shared" si="0"/>
        <v>48</v>
      </c>
      <c r="C61" s="592" t="s">
        <v>55</v>
      </c>
      <c r="D61" s="593"/>
      <c r="E61" s="11" t="s">
        <v>121</v>
      </c>
      <c r="F61" s="182" t="s">
        <v>271</v>
      </c>
      <c r="G61" s="234" t="s">
        <v>271</v>
      </c>
      <c r="H61" s="234" t="s">
        <v>271</v>
      </c>
      <c r="I61" s="234" t="s">
        <v>271</v>
      </c>
      <c r="J61" s="234" t="s">
        <v>271</v>
      </c>
      <c r="K61" s="234" t="s">
        <v>271</v>
      </c>
      <c r="L61" s="234" t="s">
        <v>271</v>
      </c>
      <c r="M61" s="234" t="s">
        <v>604</v>
      </c>
      <c r="N61" s="234" t="s">
        <v>271</v>
      </c>
      <c r="O61" s="234" t="s">
        <v>271</v>
      </c>
      <c r="P61" s="234" t="s">
        <v>271</v>
      </c>
      <c r="Q61" s="392" t="s">
        <v>271</v>
      </c>
      <c r="R61" s="171"/>
      <c r="S61" s="234"/>
      <c r="T61" s="392"/>
      <c r="U61" s="595"/>
      <c r="V61" s="2"/>
    </row>
    <row r="62" spans="2:22" ht="12" customHeight="1" x14ac:dyDescent="0.15">
      <c r="B62" s="19">
        <f t="shared" si="0"/>
        <v>49</v>
      </c>
      <c r="C62" s="592" t="s">
        <v>56</v>
      </c>
      <c r="D62" s="593"/>
      <c r="E62" s="11" t="s">
        <v>121</v>
      </c>
      <c r="F62" s="182" t="s">
        <v>271</v>
      </c>
      <c r="G62" s="234" t="s">
        <v>271</v>
      </c>
      <c r="H62" s="234" t="s">
        <v>271</v>
      </c>
      <c r="I62" s="234" t="s">
        <v>271</v>
      </c>
      <c r="J62" s="234" t="s">
        <v>271</v>
      </c>
      <c r="K62" s="234" t="s">
        <v>271</v>
      </c>
      <c r="L62" s="234" t="s">
        <v>271</v>
      </c>
      <c r="M62" s="234" t="s">
        <v>604</v>
      </c>
      <c r="N62" s="234" t="s">
        <v>271</v>
      </c>
      <c r="O62" s="234" t="s">
        <v>271</v>
      </c>
      <c r="P62" s="234" t="s">
        <v>271</v>
      </c>
      <c r="Q62" s="392" t="s">
        <v>271</v>
      </c>
      <c r="R62" s="171"/>
      <c r="S62" s="234"/>
      <c r="T62" s="392"/>
      <c r="U62" s="595"/>
      <c r="V62" s="2"/>
    </row>
    <row r="63" spans="2:22" ht="12" customHeight="1" x14ac:dyDescent="0.15">
      <c r="B63" s="19">
        <f t="shared" si="0"/>
        <v>50</v>
      </c>
      <c r="C63" s="592" t="s">
        <v>57</v>
      </c>
      <c r="D63" s="593"/>
      <c r="E63" s="11" t="s">
        <v>119</v>
      </c>
      <c r="F63" s="196" t="s">
        <v>326</v>
      </c>
      <c r="G63" s="91" t="s">
        <v>326</v>
      </c>
      <c r="H63" s="91" t="s">
        <v>326</v>
      </c>
      <c r="I63" s="91">
        <v>0.6</v>
      </c>
      <c r="J63" s="91" t="s">
        <v>326</v>
      </c>
      <c r="K63" s="91" t="s">
        <v>326</v>
      </c>
      <c r="L63" s="91" t="s">
        <v>326</v>
      </c>
      <c r="M63" s="91" t="s">
        <v>326</v>
      </c>
      <c r="N63" s="91" t="s">
        <v>326</v>
      </c>
      <c r="O63" s="91" t="s">
        <v>326</v>
      </c>
      <c r="P63" s="91" t="s">
        <v>326</v>
      </c>
      <c r="Q63" s="395" t="s">
        <v>326</v>
      </c>
      <c r="R63" s="170">
        <f>IF(MAXA(F63:Q63)&lt;0.5,"&lt;0.5",MAXA(F63:Q63))</f>
        <v>0.6</v>
      </c>
      <c r="S63" s="91" t="str">
        <f>IF(MINA(F63:Q63)&lt;0.5,"&lt;0.5",MINA(F63:Q63))</f>
        <v>&lt;0.5</v>
      </c>
      <c r="T63" s="395" t="str">
        <f>IF(AVERAGEA(F63:Q63)&lt;0.5,"&lt;0.5",AVERAGEA(F63:Q63))</f>
        <v>&lt;0.5</v>
      </c>
      <c r="U63" s="595"/>
      <c r="V63" s="2"/>
    </row>
    <row r="64" spans="2:22" ht="12" customHeight="1" thickBot="1" x14ac:dyDescent="0.2">
      <c r="B64" s="24">
        <f t="shared" si="0"/>
        <v>51</v>
      </c>
      <c r="C64" s="606" t="s">
        <v>58</v>
      </c>
      <c r="D64" s="607"/>
      <c r="E64" s="25" t="s">
        <v>120</v>
      </c>
      <c r="F64" s="196" t="s">
        <v>310</v>
      </c>
      <c r="G64" s="261" t="s">
        <v>310</v>
      </c>
      <c r="H64" s="261" t="s">
        <v>310</v>
      </c>
      <c r="I64" s="261" t="s">
        <v>310</v>
      </c>
      <c r="J64" s="261" t="s">
        <v>310</v>
      </c>
      <c r="K64" s="261" t="s">
        <v>310</v>
      </c>
      <c r="L64" s="369" t="s">
        <v>310</v>
      </c>
      <c r="M64" s="386" t="s">
        <v>310</v>
      </c>
      <c r="N64" s="442" t="s">
        <v>310</v>
      </c>
      <c r="O64" s="456" t="s">
        <v>310</v>
      </c>
      <c r="P64" s="479" t="s">
        <v>310</v>
      </c>
      <c r="Q64" s="464" t="s">
        <v>310</v>
      </c>
      <c r="R64" s="487" t="str">
        <f>IF(MAXA(F64:Q64)&lt;0.1,"&lt;0.1",MAXA(F64:Q64))</f>
        <v>&lt;0.1</v>
      </c>
      <c r="S64" s="488" t="str">
        <f>IF(MINA(F64:Q64)&lt;0.1,"&lt;0.1",MINA(F64:Q64))</f>
        <v>&lt;0.1</v>
      </c>
      <c r="T64" s="399" t="str">
        <f>IF(AVERAGEA(F64:Q64)&lt;0.1,"&lt;0.1",AVERAGEA(F64:Q64))</f>
        <v>&lt;0.1</v>
      </c>
      <c r="U64" s="599"/>
      <c r="V64" s="2"/>
    </row>
    <row r="65" spans="2:22" ht="15" customHeight="1" thickBot="1" x14ac:dyDescent="0.2">
      <c r="B65" s="603" t="s">
        <v>126</v>
      </c>
      <c r="C65" s="604"/>
      <c r="D65" s="604"/>
      <c r="E65" s="605"/>
      <c r="F65" s="203" t="s">
        <v>272</v>
      </c>
      <c r="G65" s="122" t="s">
        <v>272</v>
      </c>
      <c r="H65" s="122" t="s">
        <v>272</v>
      </c>
      <c r="I65" s="122" t="s">
        <v>272</v>
      </c>
      <c r="J65" s="122" t="s">
        <v>272</v>
      </c>
      <c r="K65" s="122" t="s">
        <v>272</v>
      </c>
      <c r="L65" s="122" t="s">
        <v>272</v>
      </c>
      <c r="M65" s="122" t="s">
        <v>272</v>
      </c>
      <c r="N65" s="122" t="s">
        <v>272</v>
      </c>
      <c r="O65" s="122" t="s">
        <v>272</v>
      </c>
      <c r="P65" s="122" t="s">
        <v>272</v>
      </c>
      <c r="Q65" s="512" t="s">
        <v>272</v>
      </c>
      <c r="R65" s="480"/>
      <c r="S65" s="480"/>
      <c r="T65" s="480"/>
      <c r="V65" s="2"/>
    </row>
    <row r="66" spans="2:22" ht="15" customHeight="1" thickBot="1" x14ac:dyDescent="0.2">
      <c r="B66" s="603" t="s">
        <v>127</v>
      </c>
      <c r="C66" s="604"/>
      <c r="D66" s="604"/>
      <c r="E66" s="605"/>
      <c r="F66" s="166" t="s">
        <v>243</v>
      </c>
      <c r="G66" s="215" t="s">
        <v>196</v>
      </c>
      <c r="H66" s="215" t="s">
        <v>196</v>
      </c>
      <c r="I66" s="215" t="s">
        <v>196</v>
      </c>
      <c r="J66" s="215" t="s">
        <v>196</v>
      </c>
      <c r="K66" s="215" t="s">
        <v>196</v>
      </c>
      <c r="L66" s="215" t="s">
        <v>196</v>
      </c>
      <c r="M66" s="215" t="s">
        <v>605</v>
      </c>
      <c r="N66" s="215" t="s">
        <v>196</v>
      </c>
      <c r="O66" s="215" t="s">
        <v>196</v>
      </c>
      <c r="P66" s="215" t="s">
        <v>196</v>
      </c>
      <c r="Q66" s="402" t="s">
        <v>196</v>
      </c>
      <c r="S66" s="5"/>
      <c r="T66" s="104"/>
      <c r="V66" s="2"/>
    </row>
    <row r="67" spans="2:22" ht="12" customHeight="1" x14ac:dyDescent="0.15">
      <c r="C67" s="1"/>
      <c r="D67" s="1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602"/>
      <c r="S67" s="602"/>
      <c r="T67" s="602"/>
      <c r="V67" s="4"/>
    </row>
    <row r="68" spans="2:22" ht="12" customHeight="1" x14ac:dyDescent="0.15">
      <c r="B68" s="1"/>
      <c r="C68" s="3" t="s">
        <v>495</v>
      </c>
      <c r="D68" s="27"/>
      <c r="E68" s="27"/>
      <c r="F68" s="27"/>
      <c r="G68" s="27"/>
      <c r="H68" s="27"/>
      <c r="I68" s="27"/>
      <c r="J68" s="1"/>
      <c r="K68" s="1"/>
      <c r="L68" s="1"/>
      <c r="N68" s="1"/>
      <c r="O68" s="1"/>
      <c r="P68" s="1"/>
      <c r="Q68" s="1"/>
      <c r="R68" s="4"/>
      <c r="S68" s="1"/>
      <c r="T68" s="4"/>
      <c r="U68" s="1"/>
    </row>
    <row r="69" spans="2:22" ht="10.5" customHeight="1" x14ac:dyDescent="0.15">
      <c r="C69" s="27"/>
      <c r="D69" s="27"/>
      <c r="E69" s="27"/>
      <c r="F69" s="27"/>
      <c r="G69" s="27"/>
      <c r="H69" s="27"/>
      <c r="I69" s="27"/>
      <c r="L69" s="1"/>
    </row>
    <row r="70" spans="2:22" ht="10.5" customHeight="1" x14ac:dyDescent="0.15"/>
    <row r="71" spans="2:22" ht="10.5" customHeight="1" x14ac:dyDescent="0.15"/>
    <row r="72" spans="2:22" ht="10.5" customHeight="1" x14ac:dyDescent="0.15"/>
    <row r="73" spans="2:22" ht="10.5" customHeight="1" x14ac:dyDescent="0.15"/>
    <row r="74" spans="2:22" ht="10.5" customHeight="1" x14ac:dyDescent="0.15"/>
    <row r="75" spans="2:22" ht="10.5" customHeight="1" x14ac:dyDescent="0.15"/>
    <row r="76" spans="2:22" ht="10.5" customHeight="1" x14ac:dyDescent="0.15"/>
    <row r="77" spans="2:22" ht="10.5" customHeight="1" x14ac:dyDescent="0.15"/>
    <row r="78" spans="2:22" ht="10.5" customHeight="1" x14ac:dyDescent="0.15"/>
    <row r="79" spans="2:22" ht="10.5" customHeight="1" x14ac:dyDescent="0.15"/>
    <row r="80" spans="2:22" ht="15" customHeight="1" x14ac:dyDescent="0.15"/>
    <row r="81" ht="5.45" customHeight="1" x14ac:dyDescent="0.15"/>
  </sheetData>
  <mergeCells count="82">
    <mergeCell ref="C64:D64"/>
    <mergeCell ref="C58:D58"/>
    <mergeCell ref="C59:D59"/>
    <mergeCell ref="C60:D60"/>
    <mergeCell ref="B1:M1"/>
    <mergeCell ref="C61:D61"/>
    <mergeCell ref="C62:D62"/>
    <mergeCell ref="C63:D63"/>
    <mergeCell ref="C54:D54"/>
    <mergeCell ref="C55:D55"/>
    <mergeCell ref="C56:D56"/>
    <mergeCell ref="C57:D57"/>
    <mergeCell ref="C50:D50"/>
    <mergeCell ref="C51:D51"/>
    <mergeCell ref="C52:D52"/>
    <mergeCell ref="C53:D53"/>
    <mergeCell ref="C46:D46"/>
    <mergeCell ref="C47:D47"/>
    <mergeCell ref="C48:D48"/>
    <mergeCell ref="C49:D49"/>
    <mergeCell ref="C42:D42"/>
    <mergeCell ref="C43:D43"/>
    <mergeCell ref="C44:D44"/>
    <mergeCell ref="C45:D45"/>
    <mergeCell ref="C39:D39"/>
    <mergeCell ref="C40:D40"/>
    <mergeCell ref="C41:D41"/>
    <mergeCell ref="C33:D33"/>
    <mergeCell ref="C35:D35"/>
    <mergeCell ref="C36:D36"/>
    <mergeCell ref="C37:D37"/>
    <mergeCell ref="C34:D34"/>
    <mergeCell ref="C27:D27"/>
    <mergeCell ref="C28:D28"/>
    <mergeCell ref="C30:D30"/>
    <mergeCell ref="C22:D22"/>
    <mergeCell ref="C38:D38"/>
    <mergeCell ref="C29:D29"/>
    <mergeCell ref="G4:K4"/>
    <mergeCell ref="R13:T13"/>
    <mergeCell ref="F13:Q13"/>
    <mergeCell ref="G3:K3"/>
    <mergeCell ref="B4:C4"/>
    <mergeCell ref="R6:R9"/>
    <mergeCell ref="S6:S9"/>
    <mergeCell ref="C16:D16"/>
    <mergeCell ref="B6:C12"/>
    <mergeCell ref="D10:E10"/>
    <mergeCell ref="D12:E12"/>
    <mergeCell ref="D7:E7"/>
    <mergeCell ref="C15:D15"/>
    <mergeCell ref="D8:E8"/>
    <mergeCell ref="D6:E6"/>
    <mergeCell ref="D9:E9"/>
    <mergeCell ref="D11:E11"/>
    <mergeCell ref="U54:U58"/>
    <mergeCell ref="U59:U64"/>
    <mergeCell ref="U6:U12"/>
    <mergeCell ref="T6:T9"/>
    <mergeCell ref="U52:U53"/>
    <mergeCell ref="U27:U33"/>
    <mergeCell ref="U34:U44"/>
    <mergeCell ref="U14:U15"/>
    <mergeCell ref="U22:U26"/>
    <mergeCell ref="U45:U50"/>
    <mergeCell ref="U16:U21"/>
    <mergeCell ref="R67:T67"/>
    <mergeCell ref="B66:E66"/>
    <mergeCell ref="B65:E65"/>
    <mergeCell ref="B13:D13"/>
    <mergeCell ref="C14:D14"/>
    <mergeCell ref="C17:D17"/>
    <mergeCell ref="C18:D18"/>
    <mergeCell ref="C23:D23"/>
    <mergeCell ref="C25:D25"/>
    <mergeCell ref="C32:D32"/>
    <mergeCell ref="C19:D19"/>
    <mergeCell ref="C20:D20"/>
    <mergeCell ref="C21:D21"/>
    <mergeCell ref="C24:D24"/>
    <mergeCell ref="C31:D31"/>
    <mergeCell ref="C26:D26"/>
  </mergeCells>
  <phoneticPr fontId="4"/>
  <printOptions horizontalCentered="1"/>
  <pageMargins left="0.70866141732283472" right="0.70866141732283472" top="0.59055118110236227" bottom="0.19685039370078741" header="0" footer="0"/>
  <pageSetup paperSize="9" scale="70" orientation="landscape" r:id="rId1"/>
  <headerFooter alignWithMargins="0"/>
  <rowBreaks count="1" manualBreakCount="1">
    <brk id="11" min="1" max="20" man="1"/>
  </rowBreaks>
  <colBreaks count="2" manualBreakCount="2">
    <brk id="7" max="67" man="1"/>
    <brk id="1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4">
    <pageSetUpPr fitToPage="1"/>
  </sheetPr>
  <dimension ref="B1:R63"/>
  <sheetViews>
    <sheetView zoomScaleNormal="100" zoomScaleSheetLayoutView="100" workbookViewId="0"/>
  </sheetViews>
  <sheetFormatPr defaultColWidth="8.875" defaultRowHeight="10.15" customHeight="1" x14ac:dyDescent="0.15"/>
  <cols>
    <col min="1" max="1" width="2.625" style="3" customWidth="1"/>
    <col min="2" max="2" width="2.375" style="3" customWidth="1"/>
    <col min="3" max="3" width="7" style="3" customWidth="1"/>
    <col min="4" max="4" width="19.25" style="3" customWidth="1"/>
    <col min="5" max="5" width="15.125" style="3" customWidth="1"/>
    <col min="6" max="16" width="7.625" style="3" customWidth="1"/>
    <col min="17" max="17" width="11.625" style="3" customWidth="1"/>
    <col min="18" max="18" width="3.5" style="3" customWidth="1"/>
    <col min="19" max="16384" width="8.875" style="3"/>
  </cols>
  <sheetData>
    <row r="1" spans="2:18" ht="20.100000000000001" customHeight="1" x14ac:dyDescent="0.15">
      <c r="B1" s="551" t="s">
        <v>685</v>
      </c>
      <c r="C1" s="551"/>
      <c r="D1" s="551"/>
      <c r="E1" s="551"/>
      <c r="F1" s="551"/>
      <c r="G1" s="551"/>
      <c r="H1" s="551"/>
      <c r="I1" s="551"/>
      <c r="J1" s="551"/>
      <c r="K1" s="551"/>
      <c r="L1" s="551"/>
      <c r="M1" s="551"/>
      <c r="N1" s="551"/>
      <c r="O1" s="551"/>
      <c r="P1" s="551"/>
      <c r="Q1" s="551"/>
    </row>
    <row r="2" spans="2:18" ht="15" customHeight="1" thickBot="1" x14ac:dyDescent="0.2"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2:18" ht="19.149999999999999" customHeight="1" thickBot="1" x14ac:dyDescent="0.2">
      <c r="B3" s="20"/>
      <c r="D3" s="17"/>
      <c r="F3" s="41" t="s">
        <v>7</v>
      </c>
      <c r="G3" s="639" t="s">
        <v>8</v>
      </c>
      <c r="H3" s="756"/>
      <c r="I3" s="756"/>
      <c r="J3" s="756"/>
      <c r="K3" s="756"/>
      <c r="L3" s="756"/>
      <c r="M3" s="756"/>
      <c r="N3" s="37"/>
      <c r="O3" s="33"/>
      <c r="P3" s="33"/>
      <c r="Q3" s="33"/>
    </row>
    <row r="4" spans="2:18" ht="19.149999999999999" customHeight="1" thickBot="1" x14ac:dyDescent="0.2">
      <c r="B4" s="555" t="s">
        <v>23</v>
      </c>
      <c r="C4" s="556"/>
      <c r="D4" s="31" t="s">
        <v>134</v>
      </c>
      <c r="F4" s="42"/>
      <c r="G4" s="646" t="s">
        <v>135</v>
      </c>
      <c r="H4" s="757"/>
      <c r="I4" s="757"/>
      <c r="J4" s="757"/>
      <c r="K4" s="757"/>
      <c r="L4" s="757"/>
      <c r="M4" s="757"/>
      <c r="N4" s="38"/>
      <c r="O4" s="34"/>
      <c r="P4" s="34"/>
      <c r="Q4" s="34"/>
    </row>
    <row r="5" spans="2:18" ht="10.15" customHeight="1" thickBot="1" x14ac:dyDescent="0.2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2:18" ht="14.1" customHeight="1" x14ac:dyDescent="0.15">
      <c r="B6" s="560" t="s">
        <v>5</v>
      </c>
      <c r="C6" s="561"/>
      <c r="D6" s="679" t="s">
        <v>17</v>
      </c>
      <c r="E6" s="680"/>
      <c r="F6" s="167">
        <v>45028</v>
      </c>
      <c r="G6" s="232">
        <f>'浄水（基準）'!G6</f>
        <v>45056</v>
      </c>
      <c r="H6" s="232">
        <f>'浄水（基準）'!H6</f>
        <v>45084</v>
      </c>
      <c r="I6" s="232">
        <f>'浄水（基準）'!I6</f>
        <v>45112</v>
      </c>
      <c r="J6" s="232">
        <f>'浄水（基準）'!J6</f>
        <v>45140</v>
      </c>
      <c r="K6" s="232">
        <f>'浄水（基準）'!K6</f>
        <v>45175</v>
      </c>
      <c r="L6" s="365">
        <f>'浄水（基準）'!L6</f>
        <v>45203</v>
      </c>
      <c r="M6" s="446">
        <f>'浄水（基準）'!O6</f>
        <v>45301</v>
      </c>
      <c r="N6" s="673" t="s">
        <v>0</v>
      </c>
      <c r="O6" s="676" t="s">
        <v>1</v>
      </c>
      <c r="P6" s="617" t="s">
        <v>2</v>
      </c>
      <c r="Q6" s="671" t="s">
        <v>83</v>
      </c>
      <c r="R6" s="4"/>
    </row>
    <row r="7" spans="2:18" ht="14.1" customHeight="1" x14ac:dyDescent="0.15">
      <c r="B7" s="562"/>
      <c r="C7" s="563"/>
      <c r="D7" s="666" t="s">
        <v>18</v>
      </c>
      <c r="E7" s="667"/>
      <c r="F7" s="168">
        <v>0.38680555555555557</v>
      </c>
      <c r="G7" s="169">
        <f>'浄水（基準）'!G7</f>
        <v>0.38472222222222219</v>
      </c>
      <c r="H7" s="169">
        <f>'浄水（基準）'!H7</f>
        <v>0.37013888888888885</v>
      </c>
      <c r="I7" s="169">
        <f>'浄水（基準）'!I7</f>
        <v>0.39513888888888887</v>
      </c>
      <c r="J7" s="169">
        <f>'浄水（基準）'!J7</f>
        <v>0.38055555555555554</v>
      </c>
      <c r="K7" s="169">
        <f>'浄水（基準）'!K7</f>
        <v>0.38263888888888892</v>
      </c>
      <c r="L7" s="169">
        <f>'浄水（基準）'!L7</f>
        <v>0.40416666666666662</v>
      </c>
      <c r="M7" s="169">
        <f>'浄水（基準）'!O7</f>
        <v>0.38958333333333334</v>
      </c>
      <c r="N7" s="674"/>
      <c r="O7" s="677"/>
      <c r="P7" s="618"/>
      <c r="Q7" s="672"/>
      <c r="R7" s="4"/>
    </row>
    <row r="8" spans="2:18" ht="14.1" customHeight="1" x14ac:dyDescent="0.15">
      <c r="B8" s="562"/>
      <c r="C8" s="563"/>
      <c r="D8" s="666" t="s">
        <v>19</v>
      </c>
      <c r="E8" s="667"/>
      <c r="F8" s="168" t="s">
        <v>466</v>
      </c>
      <c r="G8" s="169" t="str">
        <f>'浄水（基準）'!G8</f>
        <v>晴</v>
      </c>
      <c r="H8" s="169" t="str">
        <f>'浄水（基準）'!H8</f>
        <v>晴</v>
      </c>
      <c r="I8" s="169" t="str">
        <f>'浄水（基準）'!I8</f>
        <v>曇</v>
      </c>
      <c r="J8" s="169" t="str">
        <f>'浄水（基準）'!J8</f>
        <v>晴</v>
      </c>
      <c r="K8" s="169" t="str">
        <f>'浄水（基準）'!K8</f>
        <v>曇</v>
      </c>
      <c r="L8" s="169" t="str">
        <f>'浄水（基準）'!L8</f>
        <v>晴</v>
      </c>
      <c r="M8" s="169" t="str">
        <f>'浄水（基準）'!O8</f>
        <v>雪</v>
      </c>
      <c r="N8" s="674"/>
      <c r="O8" s="677"/>
      <c r="P8" s="618"/>
      <c r="Q8" s="672"/>
      <c r="R8" s="4"/>
    </row>
    <row r="9" spans="2:18" ht="14.1" customHeight="1" x14ac:dyDescent="0.15">
      <c r="B9" s="562"/>
      <c r="C9" s="563"/>
      <c r="D9" s="655" t="s">
        <v>20</v>
      </c>
      <c r="E9" s="669"/>
      <c r="F9" s="204" t="s">
        <v>525</v>
      </c>
      <c r="G9" s="169" t="str">
        <f>'浄水（基準）'!G9</f>
        <v>晴</v>
      </c>
      <c r="H9" s="169" t="str">
        <f>'浄水（基準）'!H9</f>
        <v>曇</v>
      </c>
      <c r="I9" s="169" t="str">
        <f>'浄水（基準）'!I9</f>
        <v>晴</v>
      </c>
      <c r="J9" s="169" t="str">
        <f>'浄水（基準）'!J9</f>
        <v>曇</v>
      </c>
      <c r="K9" s="169" t="str">
        <f>'浄水（基準）'!K9</f>
        <v>雨</v>
      </c>
      <c r="L9" s="169" t="str">
        <f>'浄水（基準）'!L9</f>
        <v>曇</v>
      </c>
      <c r="M9" s="169" t="str">
        <f>'浄水（基準）'!O9</f>
        <v>雪</v>
      </c>
      <c r="N9" s="675"/>
      <c r="O9" s="678"/>
      <c r="P9" s="648"/>
      <c r="Q9" s="672"/>
      <c r="R9" s="4"/>
    </row>
    <row r="10" spans="2:18" ht="14.1" customHeight="1" x14ac:dyDescent="0.15">
      <c r="B10" s="562"/>
      <c r="C10" s="563"/>
      <c r="D10" s="655" t="s">
        <v>21</v>
      </c>
      <c r="E10" s="656"/>
      <c r="F10" s="170">
        <v>10.3</v>
      </c>
      <c r="G10" s="91">
        <f>'浄水（基準）'!G10</f>
        <v>14</v>
      </c>
      <c r="H10" s="91">
        <f>'浄水（基準）'!H10</f>
        <v>21.4</v>
      </c>
      <c r="I10" s="91">
        <f>'浄水（基準）'!I10</f>
        <v>23.7</v>
      </c>
      <c r="J10" s="91">
        <f>'浄水（基準）'!J10</f>
        <v>27.8</v>
      </c>
      <c r="K10" s="91">
        <f>'浄水（基準）'!K10</f>
        <v>24.5</v>
      </c>
      <c r="L10" s="91">
        <f>'浄水（基準）'!L10</f>
        <v>19</v>
      </c>
      <c r="M10" s="91">
        <f>'浄水（基準）'!O10</f>
        <v>0.5</v>
      </c>
      <c r="N10" s="92"/>
      <c r="O10" s="85"/>
      <c r="P10" s="86"/>
      <c r="Q10" s="672"/>
      <c r="R10" s="4"/>
    </row>
    <row r="11" spans="2:18" ht="14.1" customHeight="1" x14ac:dyDescent="0.15">
      <c r="B11" s="562"/>
      <c r="C11" s="563"/>
      <c r="D11" s="655" t="s">
        <v>264</v>
      </c>
      <c r="E11" s="656"/>
      <c r="F11" s="170">
        <v>7.4</v>
      </c>
      <c r="G11" s="91">
        <f>'浄水（基準）'!G11</f>
        <v>9.4</v>
      </c>
      <c r="H11" s="91">
        <f>'浄水（基準）'!H11</f>
        <v>15.2</v>
      </c>
      <c r="I11" s="91">
        <f>'浄水（基準）'!I11</f>
        <v>18.899999999999999</v>
      </c>
      <c r="J11" s="91">
        <f>'浄水（基準）'!J11</f>
        <v>20</v>
      </c>
      <c r="K11" s="91">
        <f>'浄水（基準）'!K11</f>
        <v>14.2</v>
      </c>
      <c r="L11" s="91">
        <f>'浄水（基準）'!L11</f>
        <v>19.2</v>
      </c>
      <c r="M11" s="91">
        <f>'浄水（基準）'!O11</f>
        <v>5.6</v>
      </c>
      <c r="N11" s="84"/>
      <c r="O11" s="85"/>
      <c r="P11" s="86"/>
      <c r="Q11" s="672"/>
      <c r="R11" s="4"/>
    </row>
    <row r="12" spans="2:18" ht="14.1" customHeight="1" thickBot="1" x14ac:dyDescent="0.2">
      <c r="B12" s="564"/>
      <c r="C12" s="565"/>
      <c r="D12" s="755" t="s">
        <v>4</v>
      </c>
      <c r="E12" s="700"/>
      <c r="F12" s="207">
        <f>'浄水（基準）'!F12</f>
        <v>0.54</v>
      </c>
      <c r="G12" s="178">
        <f>'浄水（基準）'!G12</f>
        <v>0.54</v>
      </c>
      <c r="H12" s="178">
        <f>'浄水（基準）'!H12</f>
        <v>0.63</v>
      </c>
      <c r="I12" s="178">
        <f>'浄水（基準）'!I12</f>
        <v>0.76</v>
      </c>
      <c r="J12" s="178">
        <f>'浄水（基準）'!J12</f>
        <v>0.75</v>
      </c>
      <c r="K12" s="178">
        <f>'浄水（基準）'!K12</f>
        <v>0.69</v>
      </c>
      <c r="L12" s="178">
        <f>'浄水（基準）'!L12</f>
        <v>0.74</v>
      </c>
      <c r="M12" s="178">
        <f>'浄水（基準）'!O12</f>
        <v>0.54</v>
      </c>
      <c r="N12" s="74"/>
      <c r="O12" s="75"/>
      <c r="P12" s="76"/>
      <c r="Q12" s="754"/>
      <c r="R12" s="4"/>
    </row>
    <row r="13" spans="2:18" ht="14.1" customHeight="1" x14ac:dyDescent="0.15">
      <c r="B13" s="584" t="s">
        <v>82</v>
      </c>
      <c r="C13" s="585"/>
      <c r="D13" s="585"/>
      <c r="E13" s="35" t="s">
        <v>86</v>
      </c>
      <c r="F13" s="657" t="s">
        <v>3</v>
      </c>
      <c r="G13" s="658"/>
      <c r="H13" s="658"/>
      <c r="I13" s="658"/>
      <c r="J13" s="658"/>
      <c r="K13" s="658"/>
      <c r="L13" s="658"/>
      <c r="M13" s="659"/>
      <c r="N13" s="587"/>
      <c r="O13" s="585"/>
      <c r="P13" s="588"/>
      <c r="Q13" s="44"/>
      <c r="R13" s="4"/>
    </row>
    <row r="14" spans="2:18" ht="14.1" customHeight="1" x14ac:dyDescent="0.15">
      <c r="B14" s="18">
        <v>1</v>
      </c>
      <c r="C14" s="651" t="s">
        <v>69</v>
      </c>
      <c r="D14" s="652"/>
      <c r="E14" s="43" t="s">
        <v>96</v>
      </c>
      <c r="F14" s="192" t="s">
        <v>307</v>
      </c>
      <c r="G14" s="271"/>
      <c r="H14" s="270"/>
      <c r="I14" s="237" t="s">
        <v>307</v>
      </c>
      <c r="J14" s="343"/>
      <c r="K14" s="343"/>
      <c r="L14" s="237" t="s">
        <v>307</v>
      </c>
      <c r="M14" s="271" t="s">
        <v>307</v>
      </c>
      <c r="N14" s="192" t="str">
        <f>IF(MAXA(F14:M14)&lt;0.002,"&lt;0.002",MAXA(F14:M14))</f>
        <v>&lt;0.002</v>
      </c>
      <c r="O14" s="271" t="str">
        <f>IF(MINA(F14:M14)&lt;0.002,"&lt;0.002",MINA(F14:M14))</f>
        <v>&lt;0.002</v>
      </c>
      <c r="P14" s="467" t="str">
        <f>IF(AVERAGEA(F14:M14)&lt;0.002,"&lt;0.002",AVERAGEA(F14:M14))</f>
        <v>&lt;0.002</v>
      </c>
      <c r="Q14" s="670" t="s">
        <v>84</v>
      </c>
      <c r="R14" s="2"/>
    </row>
    <row r="15" spans="2:18" ht="14.1" customHeight="1" x14ac:dyDescent="0.15">
      <c r="B15" s="13">
        <v>2</v>
      </c>
      <c r="C15" s="592" t="s">
        <v>70</v>
      </c>
      <c r="D15" s="593"/>
      <c r="E15" s="11" t="s">
        <v>87</v>
      </c>
      <c r="F15" s="176" t="s">
        <v>311</v>
      </c>
      <c r="G15" s="270"/>
      <c r="H15" s="270"/>
      <c r="I15" s="237" t="s">
        <v>311</v>
      </c>
      <c r="J15" s="237"/>
      <c r="K15" s="237"/>
      <c r="L15" s="237" t="s">
        <v>311</v>
      </c>
      <c r="M15" s="270" t="s">
        <v>311</v>
      </c>
      <c r="N15" s="176" t="str">
        <f>IF(MAXA(F15:M15)&lt;0.0002,"&lt;0.0002",MAXA(F15:M15))</f>
        <v>&lt;0.0002</v>
      </c>
      <c r="O15" s="270" t="str">
        <f>IF(MINA(F15:M15)&lt;0.0002,"&lt;0.0002",MINA(F15:M15))</f>
        <v>&lt;0.0002</v>
      </c>
      <c r="P15" s="397" t="str">
        <f>IF(AVERAGEA(F15:M15)&lt;0.0002,"&lt;0.0002",AVERAGEA(F15:M15))</f>
        <v>&lt;0.0002</v>
      </c>
      <c r="Q15" s="670"/>
      <c r="R15" s="2"/>
    </row>
    <row r="16" spans="2:18" ht="14.1" customHeight="1" x14ac:dyDescent="0.15">
      <c r="B16" s="13">
        <v>3</v>
      </c>
      <c r="C16" s="592" t="s">
        <v>71</v>
      </c>
      <c r="D16" s="593"/>
      <c r="E16" s="11" t="s">
        <v>96</v>
      </c>
      <c r="F16" s="173" t="s">
        <v>307</v>
      </c>
      <c r="G16" s="265"/>
      <c r="H16" s="265"/>
      <c r="I16" s="179" t="s">
        <v>307</v>
      </c>
      <c r="J16" s="179"/>
      <c r="K16" s="179"/>
      <c r="L16" s="179" t="s">
        <v>307</v>
      </c>
      <c r="M16" s="265" t="s">
        <v>307</v>
      </c>
      <c r="N16" s="173" t="str">
        <f>IF(MAXA(F16:M16)&lt;0.002,"&lt;0.002",MAXA(F16:M16))</f>
        <v>&lt;0.002</v>
      </c>
      <c r="O16" s="265" t="str">
        <f>IF(MINA(F16:M16)&lt;0.002,"&lt;0.002",MINA(F16:M16))</f>
        <v>&lt;0.002</v>
      </c>
      <c r="P16" s="393" t="str">
        <f>IF(AVERAGEA(F16:M16)&lt;0.002,"&lt;0.002",AVERAGEA(F16:M16))</f>
        <v>&lt;0.002</v>
      </c>
      <c r="Q16" s="670"/>
      <c r="R16" s="2"/>
    </row>
    <row r="17" spans="2:18" ht="14.1" customHeight="1" x14ac:dyDescent="0.15">
      <c r="B17" s="18">
        <v>4</v>
      </c>
      <c r="C17" s="592" t="s">
        <v>150</v>
      </c>
      <c r="D17" s="593"/>
      <c r="E17" s="11" t="s">
        <v>208</v>
      </c>
      <c r="F17" s="176" t="s">
        <v>319</v>
      </c>
      <c r="G17" s="270"/>
      <c r="H17" s="270"/>
      <c r="I17" s="237" t="s">
        <v>319</v>
      </c>
      <c r="J17" s="237"/>
      <c r="K17" s="237"/>
      <c r="L17" s="237" t="s">
        <v>319</v>
      </c>
      <c r="M17" s="270" t="s">
        <v>319</v>
      </c>
      <c r="N17" s="176" t="str">
        <f>IF(MAXA(F17:M17)&lt;0.0004,"&lt;0.0004",MAXA(F17:M17))</f>
        <v>&lt;0.0004</v>
      </c>
      <c r="O17" s="270" t="str">
        <f>IF(MINA(F17:M17)&lt;0.0004,"&lt;0.0004",MINA(F17:M17))</f>
        <v>&lt;0.0004</v>
      </c>
      <c r="P17" s="397" t="str">
        <f>IF(AVERAGEA(F17:M17)&lt;0.0004,"&lt;0.0004",AVERAGEA(F17:M17))</f>
        <v>&lt;0.0004</v>
      </c>
      <c r="Q17" s="595" t="s">
        <v>62</v>
      </c>
      <c r="R17" s="2"/>
    </row>
    <row r="18" spans="2:18" ht="14.1" customHeight="1" x14ac:dyDescent="0.15">
      <c r="B18" s="13">
        <v>5</v>
      </c>
      <c r="C18" s="592" t="s">
        <v>151</v>
      </c>
      <c r="D18" s="593"/>
      <c r="E18" s="11" t="s">
        <v>270</v>
      </c>
      <c r="F18" s="173" t="s">
        <v>320</v>
      </c>
      <c r="G18" s="265"/>
      <c r="H18" s="265"/>
      <c r="I18" s="179" t="s">
        <v>320</v>
      </c>
      <c r="J18" s="179"/>
      <c r="K18" s="179"/>
      <c r="L18" s="179" t="s">
        <v>320</v>
      </c>
      <c r="M18" s="265" t="s">
        <v>320</v>
      </c>
      <c r="N18" s="173" t="str">
        <f>IF(MAXA(F18:M18)&lt;0.04,"&lt;0.04",MAXA(F18:M18))</f>
        <v>&lt;0.04</v>
      </c>
      <c r="O18" s="265" t="str">
        <f>IF(MINA(F18:M18)&lt;0.04,"&lt;0.04",MINA(F18:M18))</f>
        <v>&lt;0.04</v>
      </c>
      <c r="P18" s="393" t="str">
        <f>IF(AVERAGEA(F18:M18)&lt;0.04,"&lt;0.04",AVERAGEA(F18:M18))</f>
        <v>&lt;0.04</v>
      </c>
      <c r="Q18" s="595"/>
      <c r="R18" s="2"/>
    </row>
    <row r="19" spans="2:18" ht="14.1" customHeight="1" x14ac:dyDescent="0.15">
      <c r="B19" s="13">
        <v>6</v>
      </c>
      <c r="C19" s="592" t="s">
        <v>72</v>
      </c>
      <c r="D19" s="593"/>
      <c r="E19" s="11" t="s">
        <v>116</v>
      </c>
      <c r="F19" s="173" t="s">
        <v>321</v>
      </c>
      <c r="G19" s="265"/>
      <c r="H19" s="265"/>
      <c r="I19" s="179" t="s">
        <v>321</v>
      </c>
      <c r="J19" s="179"/>
      <c r="K19" s="179"/>
      <c r="L19" s="179" t="s">
        <v>321</v>
      </c>
      <c r="M19" s="265" t="s">
        <v>321</v>
      </c>
      <c r="N19" s="173" t="str">
        <f>IF(MAXA(F19:M19)&lt;0.008,"&lt;0.008",MAXA(F19:M19))</f>
        <v>&lt;0.008</v>
      </c>
      <c r="O19" s="265" t="str">
        <f>IF(MINA(F19:M19)&lt;0.008,"&lt;0.008",MINA(F19:M19))</f>
        <v>&lt;0.008</v>
      </c>
      <c r="P19" s="393" t="str">
        <f>IF(AVERAGEA(F19:M19)&lt;0.008,"&lt;0.008",AVERAGEA(F19:M19))</f>
        <v>&lt;0.008</v>
      </c>
      <c r="Q19" s="595"/>
      <c r="R19" s="2"/>
    </row>
    <row r="20" spans="2:18" ht="14.1" customHeight="1" x14ac:dyDescent="0.15">
      <c r="B20" s="18">
        <v>7</v>
      </c>
      <c r="C20" s="592" t="s">
        <v>73</v>
      </c>
      <c r="D20" s="593"/>
      <c r="E20" s="11" t="s">
        <v>91</v>
      </c>
      <c r="F20" s="170"/>
      <c r="G20" s="269"/>
      <c r="H20" s="269"/>
      <c r="I20" s="91"/>
      <c r="J20" s="91"/>
      <c r="K20" s="91"/>
      <c r="L20" s="91"/>
      <c r="M20" s="451"/>
      <c r="N20" s="170"/>
      <c r="O20" s="451"/>
      <c r="P20" s="395"/>
      <c r="Q20" s="594" t="s">
        <v>501</v>
      </c>
      <c r="R20" s="2"/>
    </row>
    <row r="21" spans="2:18" ht="14.1" customHeight="1" x14ac:dyDescent="0.15">
      <c r="B21" s="13">
        <v>8</v>
      </c>
      <c r="C21" s="592" t="s">
        <v>74</v>
      </c>
      <c r="D21" s="593"/>
      <c r="E21" s="11" t="s">
        <v>91</v>
      </c>
      <c r="F21" s="170"/>
      <c r="G21" s="269"/>
      <c r="H21" s="269"/>
      <c r="I21" s="91"/>
      <c r="J21" s="91"/>
      <c r="K21" s="91"/>
      <c r="L21" s="91"/>
      <c r="M21" s="451"/>
      <c r="N21" s="170"/>
      <c r="O21" s="451"/>
      <c r="P21" s="395"/>
      <c r="Q21" s="596"/>
      <c r="R21" s="2"/>
    </row>
    <row r="22" spans="2:18" ht="14.1" customHeight="1" x14ac:dyDescent="0.15">
      <c r="B22" s="13">
        <v>9</v>
      </c>
      <c r="C22" s="592" t="s">
        <v>152</v>
      </c>
      <c r="D22" s="593"/>
      <c r="E22" s="11" t="s">
        <v>257</v>
      </c>
      <c r="F22" s="173" t="s">
        <v>306</v>
      </c>
      <c r="G22" s="265"/>
      <c r="H22" s="265"/>
      <c r="I22" s="179" t="s">
        <v>306</v>
      </c>
      <c r="J22" s="179"/>
      <c r="K22" s="179"/>
      <c r="L22" s="179">
        <v>2E-3</v>
      </c>
      <c r="M22" s="265" t="s">
        <v>306</v>
      </c>
      <c r="N22" s="173">
        <f>IF(MAXA(F22:M22)&lt;0.001,"&lt;0.001",MAXA(F22:M22))</f>
        <v>2E-3</v>
      </c>
      <c r="O22" s="265" t="str">
        <f>IF(MINA(F22:M22)&lt;0.001,"&lt;0.001",MINA(F22:M22))</f>
        <v>&lt;0.001</v>
      </c>
      <c r="P22" s="393" t="str">
        <f>IF(AVERAGEA(F22:M22)&lt;0.001,"&lt;0.001",AVERAGEA(F22:M22))</f>
        <v>&lt;0.001</v>
      </c>
      <c r="Q22" s="594" t="s">
        <v>61</v>
      </c>
      <c r="R22" s="2"/>
    </row>
    <row r="23" spans="2:18" ht="14.1" customHeight="1" x14ac:dyDescent="0.15">
      <c r="B23" s="18">
        <v>10</v>
      </c>
      <c r="C23" s="592" t="s">
        <v>75</v>
      </c>
      <c r="D23" s="593"/>
      <c r="E23" s="11" t="s">
        <v>258</v>
      </c>
      <c r="F23" s="173" t="s">
        <v>307</v>
      </c>
      <c r="G23" s="265"/>
      <c r="H23" s="265"/>
      <c r="I23" s="179" t="s">
        <v>307</v>
      </c>
      <c r="J23" s="179"/>
      <c r="K23" s="179"/>
      <c r="L23" s="179">
        <v>3.0000000000000001E-3</v>
      </c>
      <c r="M23" s="265" t="s">
        <v>307</v>
      </c>
      <c r="N23" s="173">
        <f>IF(MAXA(F23:M23)&lt;0.002,"&lt;0.002",MAXA(F23:M23))</f>
        <v>3.0000000000000001E-3</v>
      </c>
      <c r="O23" s="265" t="str">
        <f>IF(MINA(F23:M23)&lt;0.002,"&lt;0.002",MINA(F23:M23))</f>
        <v>&lt;0.002</v>
      </c>
      <c r="P23" s="393" t="str">
        <f>IF(AVERAGEA(F23:M23)&lt;0.002,"&lt;0.002",AVERAGEA(F23:M23))</f>
        <v>&lt;0.002</v>
      </c>
      <c r="Q23" s="596"/>
      <c r="R23" s="2"/>
    </row>
    <row r="24" spans="2:18" ht="14.1" customHeight="1" x14ac:dyDescent="0.15">
      <c r="B24" s="13">
        <v>11</v>
      </c>
      <c r="C24" s="592" t="s">
        <v>76</v>
      </c>
      <c r="D24" s="593"/>
      <c r="E24" s="11" t="s">
        <v>100</v>
      </c>
      <c r="F24" s="177"/>
      <c r="G24" s="268">
        <v>0</v>
      </c>
      <c r="H24" s="268"/>
      <c r="I24" s="178">
        <v>0</v>
      </c>
      <c r="J24" s="178"/>
      <c r="K24" s="178">
        <v>0</v>
      </c>
      <c r="L24" s="178"/>
      <c r="M24" s="268"/>
      <c r="N24" s="177">
        <f>MAXA(F24:M24)</f>
        <v>0</v>
      </c>
      <c r="O24" s="268">
        <f>MINA(F24:M24)</f>
        <v>0</v>
      </c>
      <c r="P24" s="396">
        <f>AVERAGEA(F24:M24)</f>
        <v>0</v>
      </c>
      <c r="Q24" s="9" t="s">
        <v>85</v>
      </c>
      <c r="R24" s="2"/>
    </row>
    <row r="25" spans="2:18" ht="14.1" customHeight="1" x14ac:dyDescent="0.15">
      <c r="B25" s="13">
        <v>12</v>
      </c>
      <c r="C25" s="592" t="s">
        <v>22</v>
      </c>
      <c r="D25" s="593"/>
      <c r="E25" s="11" t="s">
        <v>92</v>
      </c>
      <c r="F25" s="177">
        <f>F12</f>
        <v>0.54</v>
      </c>
      <c r="G25" s="268">
        <f>G12</f>
        <v>0.54</v>
      </c>
      <c r="H25" s="268">
        <f t="shared" ref="H25:M25" si="0">H12</f>
        <v>0.63</v>
      </c>
      <c r="I25" s="268">
        <f t="shared" si="0"/>
        <v>0.76</v>
      </c>
      <c r="J25" s="268">
        <f t="shared" si="0"/>
        <v>0.75</v>
      </c>
      <c r="K25" s="268">
        <f t="shared" si="0"/>
        <v>0.69</v>
      </c>
      <c r="L25" s="268">
        <f t="shared" si="0"/>
        <v>0.74</v>
      </c>
      <c r="M25" s="268">
        <f t="shared" si="0"/>
        <v>0.54</v>
      </c>
      <c r="N25" s="177">
        <f>MAXA(F25:M25)</f>
        <v>0.76</v>
      </c>
      <c r="O25" s="268">
        <f>MINA(F25:M25)</f>
        <v>0.54</v>
      </c>
      <c r="P25" s="396">
        <f>AVERAGEA(F25:M25)</f>
        <v>0.64874999999999994</v>
      </c>
      <c r="Q25" s="9" t="s">
        <v>502</v>
      </c>
      <c r="R25" s="2"/>
    </row>
    <row r="26" spans="2:18" ht="14.1" customHeight="1" x14ac:dyDescent="0.15">
      <c r="B26" s="18">
        <v>13</v>
      </c>
      <c r="C26" s="592" t="s">
        <v>77</v>
      </c>
      <c r="D26" s="593"/>
      <c r="E26" s="11" t="s">
        <v>102</v>
      </c>
      <c r="F26" s="182">
        <f>'浄水（基準）'!F52</f>
        <v>21</v>
      </c>
      <c r="G26" s="234"/>
      <c r="H26" s="234"/>
      <c r="I26" s="234">
        <f>'浄水（基準）'!I52</f>
        <v>25</v>
      </c>
      <c r="J26" s="234"/>
      <c r="K26" s="234"/>
      <c r="L26" s="234">
        <f>'浄水（基準）'!L52</f>
        <v>28</v>
      </c>
      <c r="M26" s="234">
        <f>'浄水（基準）'!O52</f>
        <v>26</v>
      </c>
      <c r="N26" s="171">
        <f>IF(MAXA(F26:M26)&lt;3,"&lt;3",MAXA(F26:M26))</f>
        <v>28</v>
      </c>
      <c r="O26" s="264">
        <f>IF(MINA(F26:M26)&lt;3,"&lt;3",MINA(F26:M26))</f>
        <v>21</v>
      </c>
      <c r="P26" s="392">
        <f>IF(AVERAGEA(F26:M26)&lt;3,"&lt;3",AVERAGEA(F26:M26))</f>
        <v>25</v>
      </c>
      <c r="Q26" s="81" t="s">
        <v>63</v>
      </c>
      <c r="R26" s="2"/>
    </row>
    <row r="27" spans="2:18" ht="14.1" customHeight="1" x14ac:dyDescent="0.15">
      <c r="B27" s="13">
        <v>14</v>
      </c>
      <c r="C27" s="592" t="s">
        <v>47</v>
      </c>
      <c r="D27" s="593"/>
      <c r="E27" s="11" t="s">
        <v>93</v>
      </c>
      <c r="F27" s="175" t="str">
        <f>'浄水（基準）'!F50</f>
        <v>&lt;0.001</v>
      </c>
      <c r="G27" s="179"/>
      <c r="H27" s="179"/>
      <c r="I27" s="179" t="str">
        <f>'浄水（基準）'!I50</f>
        <v>&lt;0.001</v>
      </c>
      <c r="J27" s="179"/>
      <c r="K27" s="179"/>
      <c r="L27" s="179" t="str">
        <f>'浄水（基準）'!L50</f>
        <v>&lt;0.001</v>
      </c>
      <c r="M27" s="179" t="str">
        <f>'浄水（基準）'!O50</f>
        <v>&lt;0.001</v>
      </c>
      <c r="N27" s="173" t="str">
        <f>IF(MAXA(F27:M27)&lt;0.001,"&lt;0.001",MAXA(F27:M27))</f>
        <v>&lt;0.001</v>
      </c>
      <c r="O27" s="265" t="str">
        <f>IF(MINA(F27:M27)&lt;0.001,"&lt;0.001",MINA(F27:M27))</f>
        <v>&lt;0.001</v>
      </c>
      <c r="P27" s="393" t="str">
        <f>IF(AVERAGEA(F27:M27)&lt;0.001,"&lt;0.001",AVERAGEA(F27:M27))</f>
        <v>&lt;0.001</v>
      </c>
      <c r="Q27" s="9" t="s">
        <v>503</v>
      </c>
      <c r="R27" s="2"/>
    </row>
    <row r="28" spans="2:18" ht="14.1" customHeight="1" x14ac:dyDescent="0.15">
      <c r="B28" s="13">
        <v>15</v>
      </c>
      <c r="C28" s="592" t="s">
        <v>78</v>
      </c>
      <c r="D28" s="593"/>
      <c r="E28" s="11" t="s">
        <v>94</v>
      </c>
      <c r="F28" s="170">
        <v>1.8</v>
      </c>
      <c r="G28" s="269"/>
      <c r="H28" s="269"/>
      <c r="I28" s="91">
        <v>2.9</v>
      </c>
      <c r="J28" s="91"/>
      <c r="K28" s="91"/>
      <c r="L28" s="91">
        <v>1.9</v>
      </c>
      <c r="M28" s="91">
        <v>1.9</v>
      </c>
      <c r="N28" s="170">
        <f>IF(MAXA(F28:M28)&lt;1,"&lt;1.0",MAXA(F28:M28))</f>
        <v>2.9</v>
      </c>
      <c r="O28" s="451">
        <f>IF(MINA(F28:M28)&lt;1,"&lt;1.0",MINA(F28:M28))</f>
        <v>1.8</v>
      </c>
      <c r="P28" s="395">
        <f>IF(AVERAGEA(F28:M28)&lt;1,"&lt;1.0",AVERAGEA(F28:M28))</f>
        <v>2.125</v>
      </c>
      <c r="Q28" s="9" t="s">
        <v>504</v>
      </c>
      <c r="R28" s="2"/>
    </row>
    <row r="29" spans="2:18" ht="14.1" customHeight="1" x14ac:dyDescent="0.15">
      <c r="B29" s="18">
        <v>16</v>
      </c>
      <c r="C29" s="592" t="s">
        <v>153</v>
      </c>
      <c r="D29" s="593"/>
      <c r="E29" s="11" t="s">
        <v>95</v>
      </c>
      <c r="F29" s="173" t="s">
        <v>306</v>
      </c>
      <c r="G29" s="265"/>
      <c r="H29" s="265"/>
      <c r="I29" s="179" t="s">
        <v>306</v>
      </c>
      <c r="J29" s="179"/>
      <c r="K29" s="179"/>
      <c r="L29" s="179" t="s">
        <v>306</v>
      </c>
      <c r="M29" s="265" t="s">
        <v>306</v>
      </c>
      <c r="N29" s="173" t="str">
        <f>IF(MAXA(F29:M29)&lt;0.001,"&lt;0.001",MAXA(F29:M29))</f>
        <v>&lt;0.001</v>
      </c>
      <c r="O29" s="265" t="str">
        <f>IF(MINA(F29:M29)&lt;0.001,"&lt;0.001",MINA(F29:M29))</f>
        <v>&lt;0.001</v>
      </c>
      <c r="P29" s="393" t="str">
        <f>IF(AVERAGEA(F29:M29)&lt;0.001,"&lt;0.001",AVERAGEA(F29:M29))</f>
        <v>&lt;0.001</v>
      </c>
      <c r="Q29" s="595" t="s">
        <v>62</v>
      </c>
      <c r="R29" s="2"/>
    </row>
    <row r="30" spans="2:18" ht="14.1" customHeight="1" x14ac:dyDescent="0.15">
      <c r="B30" s="13">
        <v>17</v>
      </c>
      <c r="C30" s="592" t="s">
        <v>154</v>
      </c>
      <c r="D30" s="593"/>
      <c r="E30" s="11" t="s">
        <v>96</v>
      </c>
      <c r="F30" s="173" t="s">
        <v>307</v>
      </c>
      <c r="G30" s="265"/>
      <c r="H30" s="265"/>
      <c r="I30" s="179" t="s">
        <v>307</v>
      </c>
      <c r="J30" s="179"/>
      <c r="K30" s="179"/>
      <c r="L30" s="179" t="s">
        <v>307</v>
      </c>
      <c r="M30" s="265" t="s">
        <v>307</v>
      </c>
      <c r="N30" s="173" t="str">
        <f>IF(MAXA(F30:M30)&lt;0.002,"&lt;0.002",MAXA(F30:M30))</f>
        <v>&lt;0.002</v>
      </c>
      <c r="O30" s="265" t="str">
        <f>IF(MINA(F30:M30)&lt;0.002,"&lt;0.002",MINA(F30:M30))</f>
        <v>&lt;0.002</v>
      </c>
      <c r="P30" s="393" t="str">
        <f>IF(AVERAGEA(F30:M30)&lt;0.002,"&lt;0.002",AVERAGEA(F30:M30))</f>
        <v>&lt;0.002</v>
      </c>
      <c r="Q30" s="595"/>
      <c r="R30" s="2"/>
    </row>
    <row r="31" spans="2:18" ht="14.1" customHeight="1" x14ac:dyDescent="0.15">
      <c r="B31" s="13">
        <v>18</v>
      </c>
      <c r="C31" s="752" t="s">
        <v>101</v>
      </c>
      <c r="D31" s="753"/>
      <c r="E31" s="11" t="s">
        <v>97</v>
      </c>
      <c r="F31" s="170"/>
      <c r="G31" s="269"/>
      <c r="H31" s="269"/>
      <c r="I31" s="91"/>
      <c r="J31" s="91"/>
      <c r="K31" s="91"/>
      <c r="L31" s="91"/>
      <c r="M31" s="451"/>
      <c r="N31" s="170"/>
      <c r="O31" s="451"/>
      <c r="P31" s="395"/>
      <c r="Q31" s="594" t="s">
        <v>63</v>
      </c>
      <c r="R31" s="2"/>
    </row>
    <row r="32" spans="2:18" ht="14.1" customHeight="1" x14ac:dyDescent="0.15">
      <c r="B32" s="18">
        <v>19</v>
      </c>
      <c r="C32" s="592" t="s">
        <v>79</v>
      </c>
      <c r="D32" s="593"/>
      <c r="E32" s="11" t="s">
        <v>97</v>
      </c>
      <c r="F32" s="171" t="s">
        <v>327</v>
      </c>
      <c r="G32" s="264"/>
      <c r="H32" s="264"/>
      <c r="I32" s="234" t="s">
        <v>327</v>
      </c>
      <c r="J32" s="234"/>
      <c r="K32" s="234"/>
      <c r="L32" s="234" t="s">
        <v>327</v>
      </c>
      <c r="M32" s="264" t="s">
        <v>327</v>
      </c>
      <c r="N32" s="171" t="str">
        <f>IF(MAXA(F32:M32)&lt;1,"&lt;1",MAXA(F32:M32))</f>
        <v>&lt;1</v>
      </c>
      <c r="O32" s="264" t="str">
        <f>IF(MINA(F32:M32)&lt;1,"&lt;1",MINA(F32:M32))</f>
        <v>&lt;1</v>
      </c>
      <c r="P32" s="392" t="str">
        <f>IF(AVERAGEA(F32:M32)&lt;1,"&lt;1",AVERAGEA(F32:M32))</f>
        <v>&lt;1</v>
      </c>
      <c r="Q32" s="578"/>
      <c r="R32" s="2"/>
    </row>
    <row r="33" spans="2:18" ht="14.1" customHeight="1" x14ac:dyDescent="0.15">
      <c r="B33" s="13">
        <v>20</v>
      </c>
      <c r="C33" s="592" t="s">
        <v>50</v>
      </c>
      <c r="D33" s="593"/>
      <c r="E33" s="11" t="s">
        <v>103</v>
      </c>
      <c r="F33" s="182">
        <f>'浄水（基準）'!F53</f>
        <v>61</v>
      </c>
      <c r="G33" s="234"/>
      <c r="H33" s="234"/>
      <c r="I33" s="234">
        <f>'浄水（基準）'!I53</f>
        <v>74</v>
      </c>
      <c r="J33" s="234"/>
      <c r="K33" s="234"/>
      <c r="L33" s="234">
        <f>'浄水（基準）'!L53</f>
        <v>75</v>
      </c>
      <c r="M33" s="234">
        <f>'浄水（基準）'!O53</f>
        <v>65</v>
      </c>
      <c r="N33" s="171">
        <f>IF(MAXA(F33:M33)&lt;1,"&lt;1",MAXA(F33:M33))</f>
        <v>75</v>
      </c>
      <c r="O33" s="264">
        <f>IF(MINA(F33:M33)&lt;1,"&lt;1",MINA(F33:M33))</f>
        <v>61</v>
      </c>
      <c r="P33" s="392">
        <f>IF(AVERAGEA(F33:M33)&lt;1,"&lt;1",AVERAGEA(F33:M33))</f>
        <v>68.75</v>
      </c>
      <c r="Q33" s="578"/>
      <c r="R33" s="2"/>
    </row>
    <row r="34" spans="2:18" ht="14.1" customHeight="1" x14ac:dyDescent="0.15">
      <c r="B34" s="13">
        <v>21</v>
      </c>
      <c r="C34" s="592" t="s">
        <v>58</v>
      </c>
      <c r="D34" s="593"/>
      <c r="E34" s="11" t="s">
        <v>98</v>
      </c>
      <c r="F34" s="196" t="str">
        <f>'浄水（基準）'!F64</f>
        <v>&lt;0.1</v>
      </c>
      <c r="G34" s="91" t="str">
        <f>'浄水（基準）'!G64</f>
        <v>&lt;0.1</v>
      </c>
      <c r="H34" s="91" t="str">
        <f>'浄水（基準）'!H64</f>
        <v>&lt;0.1</v>
      </c>
      <c r="I34" s="91" t="str">
        <f>'浄水（基準）'!I64</f>
        <v>&lt;0.1</v>
      </c>
      <c r="J34" s="91" t="str">
        <f>'浄水（基準）'!J64</f>
        <v>&lt;0.1</v>
      </c>
      <c r="K34" s="91" t="str">
        <f>'浄水（基準）'!K64</f>
        <v>&lt;0.1</v>
      </c>
      <c r="L34" s="91" t="str">
        <f>'浄水（基準）'!L64</f>
        <v>&lt;0.1</v>
      </c>
      <c r="M34" s="91" t="str">
        <f>'浄水（基準）'!O64</f>
        <v>&lt;0.1</v>
      </c>
      <c r="N34" s="170" t="str">
        <f>IF(MAXA(F34:M34)&lt;0.1,"&lt;0.1",MAXA(F34:M34))</f>
        <v>&lt;0.1</v>
      </c>
      <c r="O34" s="451" t="str">
        <f>IF(MINA(F34:M34)&lt;0.1,"&lt;0.1",MINA(F34:M34))</f>
        <v>&lt;0.1</v>
      </c>
      <c r="P34" s="395" t="str">
        <f>IF(AVERAGEA(F34:M34)&lt;0.1,"&lt;0.1",AVERAGEA(F34:M34))</f>
        <v>&lt;0.1</v>
      </c>
      <c r="Q34" s="578"/>
      <c r="R34" s="2"/>
    </row>
    <row r="35" spans="2:18" ht="14.1" customHeight="1" x14ac:dyDescent="0.15">
      <c r="B35" s="18">
        <v>22</v>
      </c>
      <c r="C35" s="592" t="s">
        <v>54</v>
      </c>
      <c r="D35" s="593"/>
      <c r="E35" s="11" t="s">
        <v>99</v>
      </c>
      <c r="F35" s="196">
        <f>'浄水（基準）'!F60</f>
        <v>7.3</v>
      </c>
      <c r="G35" s="91">
        <f>'浄水（基準）'!G60</f>
        <v>7.4</v>
      </c>
      <c r="H35" s="91">
        <f>'浄水（基準）'!H60</f>
        <v>7.4</v>
      </c>
      <c r="I35" s="91">
        <f>'浄水（基準）'!I60</f>
        <v>7.4</v>
      </c>
      <c r="J35" s="91">
        <f>'浄水（基準）'!J60</f>
        <v>7.4</v>
      </c>
      <c r="K35" s="91">
        <f>'浄水（基準）'!K60</f>
        <v>7.4</v>
      </c>
      <c r="L35" s="91">
        <f>'浄水（基準）'!L60</f>
        <v>7.4</v>
      </c>
      <c r="M35" s="91">
        <f>'浄水（基準）'!O60</f>
        <v>7.4</v>
      </c>
      <c r="N35" s="170">
        <f>MAXA(F35:M35)</f>
        <v>7.4</v>
      </c>
      <c r="O35" s="451">
        <f>MINA(F35:M35)</f>
        <v>7.3</v>
      </c>
      <c r="P35" s="395">
        <f>AVERAGEA(F35:M35)</f>
        <v>7.3874999999999993</v>
      </c>
      <c r="Q35" s="578"/>
      <c r="R35" s="2"/>
    </row>
    <row r="36" spans="2:18" ht="24" customHeight="1" x14ac:dyDescent="0.15">
      <c r="B36" s="13">
        <v>23</v>
      </c>
      <c r="C36" s="592" t="s">
        <v>80</v>
      </c>
      <c r="D36" s="593"/>
      <c r="E36" s="71" t="s">
        <v>104</v>
      </c>
      <c r="F36" s="170">
        <v>-2.5</v>
      </c>
      <c r="G36" s="269"/>
      <c r="H36" s="269"/>
      <c r="I36" s="91">
        <v>-1.8</v>
      </c>
      <c r="J36" s="91"/>
      <c r="K36" s="91"/>
      <c r="L36" s="91">
        <v>-1.8</v>
      </c>
      <c r="M36" s="451">
        <v>-2.2000000000000002</v>
      </c>
      <c r="N36" s="170">
        <f>MAXA(F36:M36)</f>
        <v>-1.8</v>
      </c>
      <c r="O36" s="451">
        <f>MINA(F36:M36)</f>
        <v>-2.5</v>
      </c>
      <c r="P36" s="395">
        <f>AVERAGEA(F36:M36)</f>
        <v>-2.0750000000000002</v>
      </c>
      <c r="Q36" s="596"/>
      <c r="R36" s="2"/>
    </row>
    <row r="37" spans="2:18" ht="19.5" x14ac:dyDescent="0.15">
      <c r="B37" s="13">
        <v>24</v>
      </c>
      <c r="C37" s="592" t="s">
        <v>253</v>
      </c>
      <c r="D37" s="593"/>
      <c r="E37" s="71" t="s">
        <v>254</v>
      </c>
      <c r="F37" s="171">
        <v>0</v>
      </c>
      <c r="G37" s="269"/>
      <c r="H37" s="264"/>
      <c r="I37" s="234">
        <v>0</v>
      </c>
      <c r="J37" s="234"/>
      <c r="K37" s="234"/>
      <c r="L37" s="234">
        <v>1</v>
      </c>
      <c r="M37" s="264">
        <v>0</v>
      </c>
      <c r="N37" s="171">
        <f>MAXA(F37:M37)</f>
        <v>1</v>
      </c>
      <c r="O37" s="264">
        <f>MINA(F37:M37)</f>
        <v>0</v>
      </c>
      <c r="P37" s="392">
        <f>AVERAGEA(F37:M37)</f>
        <v>0.25</v>
      </c>
      <c r="Q37" s="72" t="s">
        <v>260</v>
      </c>
      <c r="R37" s="2"/>
    </row>
    <row r="38" spans="2:18" ht="13.5" customHeight="1" x14ac:dyDescent="0.15">
      <c r="B38" s="18">
        <v>25</v>
      </c>
      <c r="C38" s="651" t="s">
        <v>259</v>
      </c>
      <c r="D38" s="652"/>
      <c r="E38" s="82" t="s">
        <v>90</v>
      </c>
      <c r="F38" s="205" t="s">
        <v>313</v>
      </c>
      <c r="G38" s="272"/>
      <c r="H38" s="305"/>
      <c r="I38" s="234" t="s">
        <v>313</v>
      </c>
      <c r="J38" s="189"/>
      <c r="K38" s="272"/>
      <c r="L38" s="234" t="s">
        <v>313</v>
      </c>
      <c r="M38" s="305" t="s">
        <v>313</v>
      </c>
      <c r="N38" s="205" t="str">
        <f>IF(MAXA(F38:M38)&lt;0.01,"&lt;0.01",MAXA(F38:M38))</f>
        <v>&lt;0.01</v>
      </c>
      <c r="O38" s="305" t="str">
        <f>IF(MINA(F38:M38)&lt;0.01,"&lt;0.01",MINA(F38:M38))</f>
        <v>&lt;0.01</v>
      </c>
      <c r="P38" s="468" t="str">
        <f>IF(AVERAGEA(F38:M38)&lt;0.01,"&lt;0.01",AVERAGEA(F38:M38))</f>
        <v>&lt;0.01</v>
      </c>
      <c r="Q38" s="81" t="s">
        <v>62</v>
      </c>
      <c r="R38" s="2"/>
    </row>
    <row r="39" spans="2:18" ht="13.5" customHeight="1" x14ac:dyDescent="0.15">
      <c r="B39" s="112">
        <v>26</v>
      </c>
      <c r="C39" s="750" t="s">
        <v>43</v>
      </c>
      <c r="D39" s="751"/>
      <c r="E39" s="109" t="s">
        <v>90</v>
      </c>
      <c r="F39" s="173" t="s">
        <v>313</v>
      </c>
      <c r="G39" s="273"/>
      <c r="H39" s="265"/>
      <c r="I39" s="178">
        <f>'浄水（基準）'!I46</f>
        <v>0.03</v>
      </c>
      <c r="J39" s="344"/>
      <c r="K39" s="344"/>
      <c r="L39" s="178">
        <v>0.01</v>
      </c>
      <c r="M39" s="469" t="s">
        <v>313</v>
      </c>
      <c r="N39" s="177">
        <f>IF(MAXA(F39:M39)&lt;0.01,"&lt;0.01",MAXA(F39:M39))</f>
        <v>0.03</v>
      </c>
      <c r="O39" s="265" t="str">
        <f>IF(MINA(F39:M39)&lt;0.01,"&lt;0.01",MINA(F39:M39))</f>
        <v>&lt;0.01</v>
      </c>
      <c r="P39" s="396">
        <f>IF(AVERAGEA(F39:M39)&lt;0.01,"&lt;0.01",AVERAGEA(F39:M39))</f>
        <v>0.01</v>
      </c>
      <c r="Q39" s="81" t="s">
        <v>84</v>
      </c>
      <c r="R39" s="2"/>
    </row>
    <row r="40" spans="2:18" ht="24" customHeight="1" thickBot="1" x14ac:dyDescent="0.2">
      <c r="B40" s="110">
        <v>27</v>
      </c>
      <c r="C40" s="664" t="s">
        <v>295</v>
      </c>
      <c r="D40" s="665"/>
      <c r="E40" s="11" t="s">
        <v>299</v>
      </c>
      <c r="F40" s="206" t="s">
        <v>315</v>
      </c>
      <c r="G40" s="261"/>
      <c r="H40" s="306"/>
      <c r="I40" s="329" t="s">
        <v>315</v>
      </c>
      <c r="J40" s="331"/>
      <c r="K40" s="331"/>
      <c r="L40" s="329" t="s">
        <v>315</v>
      </c>
      <c r="M40" s="470" t="s">
        <v>315</v>
      </c>
      <c r="N40" s="173" t="str">
        <f>IF(MAXA(F40:M40)&lt;0.00001,"&lt;0.00001",MAXA(F40:M40))</f>
        <v>&lt;0.00001</v>
      </c>
      <c r="O40" s="265" t="str">
        <f>IF(MINA(F40:M40)&lt;0.00001,"&lt;0.000001",MINA(F40:M40))</f>
        <v>&lt;0.000001</v>
      </c>
      <c r="P40" s="393" t="str">
        <f>IF(AVERAGEA(F40:M40)&lt;0.000001,"&lt;0.000001",AVERAGEA(F40:M40))</f>
        <v>&lt;0.000001</v>
      </c>
      <c r="Q40" s="80" t="s">
        <v>505</v>
      </c>
      <c r="R40" s="2"/>
    </row>
    <row r="41" spans="2:18" ht="15" customHeight="1" x14ac:dyDescent="0.15">
      <c r="B41" s="584" t="s">
        <v>123</v>
      </c>
      <c r="C41" s="585"/>
      <c r="D41" s="585"/>
      <c r="E41" s="35"/>
      <c r="F41" s="587" t="s">
        <v>6</v>
      </c>
      <c r="G41" s="658"/>
      <c r="H41" s="585"/>
      <c r="I41" s="585"/>
      <c r="J41" s="585"/>
      <c r="K41" s="585"/>
      <c r="L41" s="585"/>
      <c r="M41" s="588"/>
      <c r="N41" s="585"/>
      <c r="O41" s="585"/>
      <c r="P41" s="588"/>
      <c r="Q41" s="48"/>
      <c r="R41" s="2"/>
    </row>
    <row r="42" spans="2:18" ht="14.1" customHeight="1" x14ac:dyDescent="0.15">
      <c r="B42" s="18">
        <v>1</v>
      </c>
      <c r="C42" s="651" t="s">
        <v>155</v>
      </c>
      <c r="D42" s="662"/>
      <c r="E42" s="7"/>
      <c r="F42" s="163"/>
      <c r="G42" s="94"/>
      <c r="H42" s="94">
        <v>0</v>
      </c>
      <c r="I42" s="94"/>
      <c r="J42" s="94">
        <v>0</v>
      </c>
      <c r="K42" s="67"/>
      <c r="L42" s="362"/>
      <c r="M42" s="445"/>
      <c r="N42" s="45"/>
      <c r="O42" s="46"/>
      <c r="P42" s="47"/>
      <c r="Q42" s="653" t="s">
        <v>16</v>
      </c>
      <c r="R42" s="2"/>
    </row>
    <row r="43" spans="2:18" ht="14.1" customHeight="1" thickBot="1" x14ac:dyDescent="0.2">
      <c r="B43" s="14">
        <v>2</v>
      </c>
      <c r="C43" s="600" t="s">
        <v>156</v>
      </c>
      <c r="D43" s="663"/>
      <c r="E43" s="6"/>
      <c r="F43" s="194"/>
      <c r="G43" s="93"/>
      <c r="H43" s="93">
        <v>0</v>
      </c>
      <c r="I43" s="93"/>
      <c r="J43" s="93">
        <v>0</v>
      </c>
      <c r="K43" s="361"/>
      <c r="L43" s="368"/>
      <c r="M43" s="450"/>
      <c r="N43" s="21"/>
      <c r="O43" s="22"/>
      <c r="P43" s="23"/>
      <c r="Q43" s="654"/>
      <c r="R43" s="2"/>
    </row>
    <row r="44" spans="2:18" ht="15" customHeight="1" thickBot="1" x14ac:dyDescent="0.2">
      <c r="B44" s="603" t="s">
        <v>81</v>
      </c>
      <c r="C44" s="604"/>
      <c r="D44" s="604"/>
      <c r="E44" s="605"/>
      <c r="F44" s="166" t="s">
        <v>266</v>
      </c>
      <c r="G44" s="215" t="s">
        <v>519</v>
      </c>
      <c r="H44" s="215" t="s">
        <v>527</v>
      </c>
      <c r="I44" s="215" t="s">
        <v>541</v>
      </c>
      <c r="J44" s="215" t="s">
        <v>545</v>
      </c>
      <c r="K44" s="215" t="s">
        <v>550</v>
      </c>
      <c r="L44" s="215" t="s">
        <v>552</v>
      </c>
      <c r="M44" s="402" t="s">
        <v>196</v>
      </c>
      <c r="N44" s="5"/>
      <c r="O44" s="5"/>
      <c r="P44" s="5"/>
      <c r="Q44" s="2"/>
      <c r="R44" s="2"/>
    </row>
    <row r="45" spans="2:18" ht="10.5" customHeight="1" x14ac:dyDescent="0.15">
      <c r="B45" s="3" t="s">
        <v>122</v>
      </c>
      <c r="C45" s="1"/>
      <c r="D45" s="1"/>
      <c r="E45" s="1"/>
      <c r="F45" s="4"/>
      <c r="G45" s="87"/>
      <c r="H45" s="1"/>
      <c r="I45" s="1"/>
      <c r="J45" s="4"/>
      <c r="K45" s="4"/>
      <c r="L45" s="4"/>
      <c r="M45" s="4"/>
      <c r="N45" s="4"/>
      <c r="O45" s="4"/>
      <c r="P45" s="4"/>
      <c r="Q45" s="4"/>
      <c r="R45" s="4"/>
    </row>
    <row r="46" spans="2:18" ht="10.5" customHeight="1" x14ac:dyDescent="0.15">
      <c r="B46" s="3" t="s">
        <v>496</v>
      </c>
      <c r="G46" s="89"/>
    </row>
    <row r="47" spans="2:18" ht="10.5" customHeight="1" x14ac:dyDescent="0.15">
      <c r="B47" s="27"/>
      <c r="C47" s="27"/>
      <c r="D47" s="27"/>
      <c r="E47" s="27"/>
      <c r="F47" s="27"/>
      <c r="G47" s="90"/>
      <c r="H47" s="27"/>
      <c r="I47" s="27"/>
      <c r="J47" s="27"/>
      <c r="K47" s="27"/>
      <c r="L47" s="27"/>
      <c r="M47" s="27"/>
      <c r="N47" s="27"/>
      <c r="O47" s="27"/>
      <c r="P47" s="27"/>
    </row>
    <row r="48" spans="2:18" ht="10.15" customHeight="1" x14ac:dyDescent="0.15">
      <c r="B48" s="27"/>
      <c r="C48" s="27"/>
      <c r="D48" s="27"/>
      <c r="E48" s="27"/>
      <c r="F48" s="27"/>
      <c r="G48" s="90"/>
      <c r="H48" s="27"/>
      <c r="I48" s="27"/>
      <c r="J48" s="27"/>
      <c r="K48" s="27"/>
      <c r="L48" s="27"/>
      <c r="M48" s="27"/>
      <c r="N48" s="27"/>
      <c r="O48" s="27"/>
      <c r="P48" s="27"/>
    </row>
    <row r="49" spans="7:7" ht="10.15" customHeight="1" x14ac:dyDescent="0.15">
      <c r="G49" s="89"/>
    </row>
    <row r="50" spans="7:7" ht="10.15" customHeight="1" x14ac:dyDescent="0.15">
      <c r="G50" s="89"/>
    </row>
    <row r="51" spans="7:7" ht="10.15" customHeight="1" x14ac:dyDescent="0.15">
      <c r="G51" s="89"/>
    </row>
    <row r="52" spans="7:7" ht="10.15" customHeight="1" x14ac:dyDescent="0.15">
      <c r="G52" s="89"/>
    </row>
    <row r="53" spans="7:7" ht="10.15" customHeight="1" x14ac:dyDescent="0.15">
      <c r="G53" s="89"/>
    </row>
    <row r="54" spans="7:7" ht="10.15" customHeight="1" x14ac:dyDescent="0.15">
      <c r="G54" s="89"/>
    </row>
    <row r="55" spans="7:7" ht="10.15" customHeight="1" x14ac:dyDescent="0.15">
      <c r="G55" s="89"/>
    </row>
    <row r="56" spans="7:7" ht="10.15" customHeight="1" x14ac:dyDescent="0.15">
      <c r="G56" s="89"/>
    </row>
    <row r="57" spans="7:7" ht="10.15" customHeight="1" x14ac:dyDescent="0.15">
      <c r="G57" s="89"/>
    </row>
    <row r="58" spans="7:7" ht="10.15" customHeight="1" x14ac:dyDescent="0.15">
      <c r="G58" s="89"/>
    </row>
    <row r="59" spans="7:7" ht="10.15" customHeight="1" x14ac:dyDescent="0.15">
      <c r="G59" s="89"/>
    </row>
    <row r="60" spans="7:7" ht="10.15" customHeight="1" x14ac:dyDescent="0.15">
      <c r="G60" s="89"/>
    </row>
    <row r="61" spans="7:7" ht="10.15" customHeight="1" x14ac:dyDescent="0.15">
      <c r="G61" s="89"/>
    </row>
    <row r="62" spans="7:7" ht="10.15" customHeight="1" x14ac:dyDescent="0.15">
      <c r="G62" s="89"/>
    </row>
    <row r="63" spans="7:7" ht="10.15" customHeight="1" x14ac:dyDescent="0.15">
      <c r="G63" s="89"/>
    </row>
  </sheetData>
  <mergeCells count="59">
    <mergeCell ref="G4:M4"/>
    <mergeCell ref="D6:E6"/>
    <mergeCell ref="D7:E7"/>
    <mergeCell ref="D8:E8"/>
    <mergeCell ref="D9:E9"/>
    <mergeCell ref="B1:Q1"/>
    <mergeCell ref="Q17:Q19"/>
    <mergeCell ref="C17:D17"/>
    <mergeCell ref="B4:C4"/>
    <mergeCell ref="Q14:Q16"/>
    <mergeCell ref="Q6:Q12"/>
    <mergeCell ref="N6:N9"/>
    <mergeCell ref="O6:O9"/>
    <mergeCell ref="P6:P9"/>
    <mergeCell ref="B6:C12"/>
    <mergeCell ref="B13:D13"/>
    <mergeCell ref="F13:M13"/>
    <mergeCell ref="C15:D15"/>
    <mergeCell ref="D12:E12"/>
    <mergeCell ref="D10:E10"/>
    <mergeCell ref="G3:M3"/>
    <mergeCell ref="B44:E44"/>
    <mergeCell ref="C42:D42"/>
    <mergeCell ref="C43:D43"/>
    <mergeCell ref="C18:D18"/>
    <mergeCell ref="C24:D24"/>
    <mergeCell ref="C25:D25"/>
    <mergeCell ref="C20:D20"/>
    <mergeCell ref="C26:D26"/>
    <mergeCell ref="C34:D34"/>
    <mergeCell ref="C33:D33"/>
    <mergeCell ref="C39:D39"/>
    <mergeCell ref="C37:D37"/>
    <mergeCell ref="C40:D40"/>
    <mergeCell ref="C35:D35"/>
    <mergeCell ref="C30:D30"/>
    <mergeCell ref="C31:D31"/>
    <mergeCell ref="Q42:Q43"/>
    <mergeCell ref="Q29:Q30"/>
    <mergeCell ref="D11:E11"/>
    <mergeCell ref="C14:D14"/>
    <mergeCell ref="C19:D19"/>
    <mergeCell ref="C29:D29"/>
    <mergeCell ref="C27:D27"/>
    <mergeCell ref="C38:D38"/>
    <mergeCell ref="N13:P13"/>
    <mergeCell ref="C28:D28"/>
    <mergeCell ref="C22:D22"/>
    <mergeCell ref="C21:D21"/>
    <mergeCell ref="C23:D23"/>
    <mergeCell ref="B41:D41"/>
    <mergeCell ref="C16:D16"/>
    <mergeCell ref="C36:D36"/>
    <mergeCell ref="C32:D32"/>
    <mergeCell ref="Q22:Q23"/>
    <mergeCell ref="Q20:Q21"/>
    <mergeCell ref="Q31:Q36"/>
    <mergeCell ref="F41:M41"/>
    <mergeCell ref="N41:P41"/>
  </mergeCells>
  <phoneticPr fontId="4"/>
  <printOptions horizontalCentered="1"/>
  <pageMargins left="0.59055118110236227" right="0.39370078740157483" top="0.78740157480314965" bottom="0.39370078740157483" header="0" footer="0"/>
  <pageSetup paperSize="9" scale="8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4">
    <pageSetUpPr fitToPage="1"/>
  </sheetPr>
  <dimension ref="B1:X85"/>
  <sheetViews>
    <sheetView zoomScaleNormal="100" zoomScaleSheetLayoutView="100" workbookViewId="0"/>
  </sheetViews>
  <sheetFormatPr defaultColWidth="8.875" defaultRowHeight="10.15" customHeight="1" x14ac:dyDescent="0.15"/>
  <cols>
    <col min="1" max="1" width="2.625" style="3" customWidth="1"/>
    <col min="2" max="2" width="3.125" style="3" customWidth="1"/>
    <col min="3" max="3" width="7.125" style="3" customWidth="1"/>
    <col min="4" max="4" width="18.625" style="3" customWidth="1"/>
    <col min="5" max="5" width="13" style="3" customWidth="1"/>
    <col min="6" max="6" width="11.375" style="3" customWidth="1"/>
    <col min="7" max="12" width="7.625" style="3" customWidth="1"/>
    <col min="13" max="13" width="1" style="3" customWidth="1"/>
    <col min="14" max="14" width="3.125" style="3" customWidth="1"/>
    <col min="15" max="15" width="7.125" style="3" customWidth="1"/>
    <col min="16" max="16" width="18.625" style="3" customWidth="1"/>
    <col min="17" max="17" width="15.75" style="3" customWidth="1"/>
    <col min="18" max="18" width="6.625" style="3" customWidth="1"/>
    <col min="19" max="24" width="7.625" style="3" customWidth="1"/>
    <col min="25" max="16384" width="8.875" style="3"/>
  </cols>
  <sheetData>
    <row r="1" spans="2:24" ht="20.100000000000001" customHeight="1" x14ac:dyDescent="0.15">
      <c r="B1" s="551" t="s">
        <v>685</v>
      </c>
      <c r="C1" s="551"/>
      <c r="D1" s="551"/>
      <c r="E1" s="551"/>
      <c r="F1" s="551"/>
      <c r="G1" s="551"/>
      <c r="H1" s="551"/>
      <c r="I1" s="551"/>
      <c r="J1" s="551"/>
      <c r="K1" s="551"/>
      <c r="L1" s="551"/>
    </row>
    <row r="2" spans="2:24" ht="15" customHeight="1" thickBot="1" x14ac:dyDescent="0.2"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2:24" ht="19.149999999999999" customHeight="1" thickBot="1" x14ac:dyDescent="0.2">
      <c r="B3" s="20"/>
      <c r="D3" s="49"/>
      <c r="E3" s="49"/>
      <c r="F3" s="154" t="s">
        <v>7</v>
      </c>
      <c r="G3" s="681" t="s">
        <v>8</v>
      </c>
      <c r="H3" s="615"/>
      <c r="I3" s="615"/>
      <c r="J3" s="615"/>
      <c r="K3" s="615"/>
      <c r="L3" s="615"/>
      <c r="M3" s="153"/>
      <c r="N3" s="152"/>
      <c r="O3" s="152"/>
      <c r="P3" s="152"/>
    </row>
    <row r="4" spans="2:24" ht="19.149999999999999" customHeight="1" thickBot="1" x14ac:dyDescent="0.2">
      <c r="B4" s="682" t="s">
        <v>23</v>
      </c>
      <c r="C4" s="683"/>
      <c r="D4" s="31" t="s">
        <v>506</v>
      </c>
      <c r="E4" s="34"/>
      <c r="F4" s="42"/>
      <c r="G4" s="557" t="s">
        <v>463</v>
      </c>
      <c r="H4" s="558"/>
      <c r="I4" s="558"/>
      <c r="J4" s="558"/>
      <c r="K4" s="558"/>
      <c r="L4" s="558"/>
      <c r="M4" s="151"/>
      <c r="N4" s="34"/>
      <c r="O4" s="34"/>
      <c r="P4" s="34"/>
    </row>
    <row r="5" spans="2:24" ht="10.15" customHeight="1" thickBot="1" x14ac:dyDescent="0.2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4" ht="12.95" customHeight="1" x14ac:dyDescent="0.15">
      <c r="B6" s="684" t="s">
        <v>5</v>
      </c>
      <c r="C6" s="685"/>
      <c r="D6" s="679" t="s">
        <v>17</v>
      </c>
      <c r="E6" s="680"/>
      <c r="F6" s="680"/>
      <c r="G6" s="690">
        <v>45056</v>
      </c>
      <c r="H6" s="691"/>
      <c r="I6" s="692">
        <v>45112</v>
      </c>
      <c r="J6" s="693"/>
      <c r="K6" s="691">
        <v>45175</v>
      </c>
      <c r="L6" s="694"/>
      <c r="M6" s="4"/>
      <c r="N6" s="684" t="s">
        <v>5</v>
      </c>
      <c r="O6" s="685"/>
      <c r="P6" s="679" t="s">
        <v>17</v>
      </c>
      <c r="Q6" s="680"/>
      <c r="R6" s="680"/>
      <c r="S6" s="690">
        <f>G6</f>
        <v>45056</v>
      </c>
      <c r="T6" s="691"/>
      <c r="U6" s="692">
        <f t="shared" ref="U6:U12" si="0">I6</f>
        <v>45112</v>
      </c>
      <c r="V6" s="693"/>
      <c r="W6" s="692">
        <f t="shared" ref="W6:W12" si="1">K6</f>
        <v>45175</v>
      </c>
      <c r="X6" s="694"/>
    </row>
    <row r="7" spans="2:24" ht="12.95" customHeight="1" x14ac:dyDescent="0.15">
      <c r="B7" s="686"/>
      <c r="C7" s="687"/>
      <c r="D7" s="666" t="s">
        <v>18</v>
      </c>
      <c r="E7" s="667"/>
      <c r="F7" s="667"/>
      <c r="G7" s="707">
        <v>0.38472222222222219</v>
      </c>
      <c r="H7" s="708"/>
      <c r="I7" s="709">
        <v>0.39513888888888887</v>
      </c>
      <c r="J7" s="710"/>
      <c r="K7" s="709">
        <v>0.38263888888888892</v>
      </c>
      <c r="L7" s="711"/>
      <c r="M7" s="4"/>
      <c r="N7" s="686"/>
      <c r="O7" s="687"/>
      <c r="P7" s="666" t="s">
        <v>18</v>
      </c>
      <c r="Q7" s="667"/>
      <c r="R7" s="667"/>
      <c r="S7" s="707">
        <f>G7</f>
        <v>0.38472222222222219</v>
      </c>
      <c r="T7" s="708"/>
      <c r="U7" s="709">
        <f t="shared" si="0"/>
        <v>0.39513888888888887</v>
      </c>
      <c r="V7" s="710"/>
      <c r="W7" s="709">
        <f t="shared" si="1"/>
        <v>0.38263888888888892</v>
      </c>
      <c r="X7" s="711"/>
    </row>
    <row r="8" spans="2:24" ht="12.95" customHeight="1" x14ac:dyDescent="0.15">
      <c r="B8" s="686"/>
      <c r="C8" s="687"/>
      <c r="D8" s="666" t="s">
        <v>19</v>
      </c>
      <c r="E8" s="667"/>
      <c r="F8" s="667"/>
      <c r="G8" s="712" t="s">
        <v>466</v>
      </c>
      <c r="H8" s="713"/>
      <c r="I8" s="667" t="s">
        <v>588</v>
      </c>
      <c r="J8" s="714"/>
      <c r="K8" s="667" t="s">
        <v>302</v>
      </c>
      <c r="L8" s="716"/>
      <c r="M8" s="4"/>
      <c r="N8" s="686"/>
      <c r="O8" s="687"/>
      <c r="P8" s="666" t="s">
        <v>19</v>
      </c>
      <c r="Q8" s="667"/>
      <c r="R8" s="667"/>
      <c r="S8" s="707" t="str">
        <f t="shared" ref="S8:S9" si="2">G8</f>
        <v>晴</v>
      </c>
      <c r="T8" s="708"/>
      <c r="U8" s="709" t="str">
        <f t="shared" si="0"/>
        <v>曇</v>
      </c>
      <c r="V8" s="710"/>
      <c r="W8" s="709" t="str">
        <f t="shared" si="1"/>
        <v>曇</v>
      </c>
      <c r="X8" s="711"/>
    </row>
    <row r="9" spans="2:24" ht="12.95" customHeight="1" x14ac:dyDescent="0.15">
      <c r="B9" s="686"/>
      <c r="C9" s="687"/>
      <c r="D9" s="666" t="s">
        <v>20</v>
      </c>
      <c r="E9" s="667"/>
      <c r="F9" s="667"/>
      <c r="G9" s="712" t="s">
        <v>466</v>
      </c>
      <c r="H9" s="713"/>
      <c r="I9" s="667" t="s">
        <v>466</v>
      </c>
      <c r="J9" s="714"/>
      <c r="K9" s="667" t="s">
        <v>525</v>
      </c>
      <c r="L9" s="716"/>
      <c r="M9" s="4"/>
      <c r="N9" s="686"/>
      <c r="O9" s="687"/>
      <c r="P9" s="666" t="s">
        <v>20</v>
      </c>
      <c r="Q9" s="667"/>
      <c r="R9" s="667"/>
      <c r="S9" s="707" t="str">
        <f t="shared" si="2"/>
        <v>晴</v>
      </c>
      <c r="T9" s="708"/>
      <c r="U9" s="709" t="str">
        <f t="shared" si="0"/>
        <v>晴</v>
      </c>
      <c r="V9" s="710"/>
      <c r="W9" s="709" t="str">
        <f t="shared" si="1"/>
        <v>雨</v>
      </c>
      <c r="X9" s="711"/>
    </row>
    <row r="10" spans="2:24" ht="12.95" customHeight="1" x14ac:dyDescent="0.15">
      <c r="B10" s="686"/>
      <c r="C10" s="687"/>
      <c r="D10" s="666" t="s">
        <v>21</v>
      </c>
      <c r="E10" s="667"/>
      <c r="F10" s="667"/>
      <c r="G10" s="720">
        <v>14</v>
      </c>
      <c r="H10" s="717"/>
      <c r="I10" s="697">
        <v>23.7</v>
      </c>
      <c r="J10" s="698"/>
      <c r="K10" s="717">
        <v>24.5</v>
      </c>
      <c r="L10" s="718"/>
      <c r="M10" s="4"/>
      <c r="N10" s="686"/>
      <c r="O10" s="687"/>
      <c r="P10" s="666" t="s">
        <v>21</v>
      </c>
      <c r="Q10" s="667"/>
      <c r="R10" s="667"/>
      <c r="S10" s="720">
        <f>G10</f>
        <v>14</v>
      </c>
      <c r="T10" s="717"/>
      <c r="U10" s="697">
        <f t="shared" si="0"/>
        <v>23.7</v>
      </c>
      <c r="V10" s="698"/>
      <c r="W10" s="697">
        <f t="shared" si="1"/>
        <v>24.5</v>
      </c>
      <c r="X10" s="718"/>
    </row>
    <row r="11" spans="2:24" ht="12.95" customHeight="1" x14ac:dyDescent="0.15">
      <c r="B11" s="686"/>
      <c r="C11" s="687"/>
      <c r="D11" s="666" t="s">
        <v>462</v>
      </c>
      <c r="E11" s="667"/>
      <c r="F11" s="667"/>
      <c r="G11" s="695">
        <v>9.4</v>
      </c>
      <c r="H11" s="696"/>
      <c r="I11" s="697">
        <v>18.899999999999999</v>
      </c>
      <c r="J11" s="698"/>
      <c r="K11" s="696">
        <v>14.2</v>
      </c>
      <c r="L11" s="699"/>
      <c r="M11" s="4"/>
      <c r="N11" s="686"/>
      <c r="O11" s="687"/>
      <c r="P11" s="666" t="s">
        <v>462</v>
      </c>
      <c r="Q11" s="667"/>
      <c r="R11" s="667"/>
      <c r="S11" s="720">
        <f t="shared" ref="S11:S12" si="3">G11</f>
        <v>9.4</v>
      </c>
      <c r="T11" s="717"/>
      <c r="U11" s="697">
        <f t="shared" si="0"/>
        <v>18.899999999999999</v>
      </c>
      <c r="V11" s="698"/>
      <c r="W11" s="697">
        <f t="shared" si="1"/>
        <v>14.2</v>
      </c>
      <c r="X11" s="718"/>
    </row>
    <row r="12" spans="2:24" ht="12.95" customHeight="1" thickBot="1" x14ac:dyDescent="0.2">
      <c r="B12" s="688"/>
      <c r="C12" s="689"/>
      <c r="D12" s="700" t="s">
        <v>461</v>
      </c>
      <c r="E12" s="701"/>
      <c r="F12" s="702"/>
      <c r="G12" s="758">
        <v>0.54</v>
      </c>
      <c r="H12" s="759"/>
      <c r="I12" s="760">
        <v>0.76</v>
      </c>
      <c r="J12" s="761"/>
      <c r="K12" s="760">
        <v>0.69</v>
      </c>
      <c r="L12" s="762"/>
      <c r="M12" s="4"/>
      <c r="N12" s="688"/>
      <c r="O12" s="689"/>
      <c r="P12" s="700" t="s">
        <v>461</v>
      </c>
      <c r="Q12" s="701"/>
      <c r="R12" s="702"/>
      <c r="S12" s="763">
        <f t="shared" si="3"/>
        <v>0.54</v>
      </c>
      <c r="T12" s="764"/>
      <c r="U12" s="760">
        <f t="shared" si="0"/>
        <v>0.76</v>
      </c>
      <c r="V12" s="761"/>
      <c r="W12" s="760">
        <f t="shared" si="1"/>
        <v>0.69</v>
      </c>
      <c r="X12" s="762"/>
    </row>
    <row r="13" spans="2:24" ht="15" customHeight="1" x14ac:dyDescent="0.15">
      <c r="B13" s="725" t="s">
        <v>460</v>
      </c>
      <c r="C13" s="726"/>
      <c r="D13" s="727"/>
      <c r="E13" s="728" t="s">
        <v>459</v>
      </c>
      <c r="F13" s="150" t="s">
        <v>458</v>
      </c>
      <c r="G13" s="730" t="s">
        <v>457</v>
      </c>
      <c r="H13" s="766"/>
      <c r="I13" s="721" t="s">
        <v>457</v>
      </c>
      <c r="J13" s="722"/>
      <c r="K13" s="766" t="s">
        <v>457</v>
      </c>
      <c r="L13" s="731"/>
      <c r="M13" s="4"/>
      <c r="N13" s="725" t="s">
        <v>460</v>
      </c>
      <c r="O13" s="726"/>
      <c r="P13" s="727"/>
      <c r="Q13" s="728" t="s">
        <v>459</v>
      </c>
      <c r="R13" s="150" t="s">
        <v>458</v>
      </c>
      <c r="S13" s="730" t="s">
        <v>457</v>
      </c>
      <c r="T13" s="766"/>
      <c r="U13" s="721" t="s">
        <v>457</v>
      </c>
      <c r="V13" s="722"/>
      <c r="W13" s="766" t="s">
        <v>457</v>
      </c>
      <c r="X13" s="731"/>
    </row>
    <row r="14" spans="2:24" s="50" customFormat="1" ht="15" customHeight="1" thickBot="1" x14ac:dyDescent="0.2">
      <c r="B14" s="149"/>
      <c r="C14" s="738" t="s">
        <v>456</v>
      </c>
      <c r="D14" s="739"/>
      <c r="E14" s="729"/>
      <c r="F14" s="148" t="s">
        <v>158</v>
      </c>
      <c r="G14" s="147" t="s">
        <v>455</v>
      </c>
      <c r="H14" s="146" t="s">
        <v>454</v>
      </c>
      <c r="I14" s="145" t="s">
        <v>455</v>
      </c>
      <c r="J14" s="144" t="s">
        <v>454</v>
      </c>
      <c r="K14" s="143" t="s">
        <v>455</v>
      </c>
      <c r="L14" s="142" t="s">
        <v>454</v>
      </c>
      <c r="M14" s="155"/>
      <c r="N14" s="149"/>
      <c r="O14" s="738" t="s">
        <v>456</v>
      </c>
      <c r="P14" s="739"/>
      <c r="Q14" s="729"/>
      <c r="R14" s="148" t="s">
        <v>158</v>
      </c>
      <c r="S14" s="147" t="s">
        <v>455</v>
      </c>
      <c r="T14" s="146" t="s">
        <v>454</v>
      </c>
      <c r="U14" s="145" t="s">
        <v>455</v>
      </c>
      <c r="V14" s="144" t="s">
        <v>454</v>
      </c>
      <c r="W14" s="143" t="s">
        <v>455</v>
      </c>
      <c r="X14" s="142" t="s">
        <v>454</v>
      </c>
    </row>
    <row r="15" spans="2:24" ht="15" customHeight="1" x14ac:dyDescent="0.15">
      <c r="B15" s="141">
        <v>1</v>
      </c>
      <c r="C15" s="140" t="s">
        <v>453</v>
      </c>
      <c r="D15" s="139"/>
      <c r="E15" s="138" t="s">
        <v>377</v>
      </c>
      <c r="F15" s="137">
        <v>0.05</v>
      </c>
      <c r="G15" s="252" t="s">
        <v>316</v>
      </c>
      <c r="H15" s="253">
        <v>0</v>
      </c>
      <c r="I15" s="319" t="s">
        <v>316</v>
      </c>
      <c r="J15" s="253">
        <v>0</v>
      </c>
      <c r="K15" s="319" t="s">
        <v>316</v>
      </c>
      <c r="L15" s="348">
        <v>0</v>
      </c>
      <c r="M15" s="2"/>
      <c r="N15" s="136">
        <v>59</v>
      </c>
      <c r="O15" s="127" t="s">
        <v>452</v>
      </c>
      <c r="P15" s="126"/>
      <c r="Q15" s="125" t="s">
        <v>338</v>
      </c>
      <c r="R15" s="124">
        <v>0.08</v>
      </c>
      <c r="S15" s="254" t="s">
        <v>479</v>
      </c>
      <c r="T15" s="253">
        <v>0</v>
      </c>
      <c r="U15" s="319" t="s">
        <v>479</v>
      </c>
      <c r="V15" s="325">
        <v>0</v>
      </c>
      <c r="W15" s="319" t="s">
        <v>479</v>
      </c>
      <c r="X15" s="348">
        <v>0</v>
      </c>
    </row>
    <row r="16" spans="2:24" ht="15" customHeight="1" x14ac:dyDescent="0.15">
      <c r="B16" s="13">
        <v>2</v>
      </c>
      <c r="C16" s="127" t="s">
        <v>451</v>
      </c>
      <c r="D16" s="126"/>
      <c r="E16" s="125" t="s">
        <v>330</v>
      </c>
      <c r="F16" s="132">
        <v>0.08</v>
      </c>
      <c r="G16" s="254" t="s">
        <v>321</v>
      </c>
      <c r="H16" s="253">
        <v>0</v>
      </c>
      <c r="I16" s="320" t="s">
        <v>321</v>
      </c>
      <c r="J16" s="253">
        <v>0</v>
      </c>
      <c r="K16" s="320" t="s">
        <v>321</v>
      </c>
      <c r="L16" s="348">
        <v>0</v>
      </c>
      <c r="M16" s="2"/>
      <c r="N16" s="19">
        <v>60</v>
      </c>
      <c r="O16" s="127" t="s">
        <v>450</v>
      </c>
      <c r="P16" s="126"/>
      <c r="Q16" s="125" t="s">
        <v>332</v>
      </c>
      <c r="R16" s="124">
        <v>0.3</v>
      </c>
      <c r="S16" s="254" t="s">
        <v>323</v>
      </c>
      <c r="T16" s="253">
        <v>0</v>
      </c>
      <c r="U16" s="320" t="s">
        <v>323</v>
      </c>
      <c r="V16" s="325">
        <v>0</v>
      </c>
      <c r="W16" s="320" t="s">
        <v>323</v>
      </c>
      <c r="X16" s="348">
        <v>0</v>
      </c>
    </row>
    <row r="17" spans="2:24" ht="15" customHeight="1" x14ac:dyDescent="0.15">
      <c r="B17" s="13">
        <v>3</v>
      </c>
      <c r="C17" s="127" t="s">
        <v>449</v>
      </c>
      <c r="D17" s="126"/>
      <c r="E17" s="125" t="s">
        <v>330</v>
      </c>
      <c r="F17" s="132">
        <v>0.02</v>
      </c>
      <c r="G17" s="255" t="s">
        <v>311</v>
      </c>
      <c r="H17" s="253">
        <v>0</v>
      </c>
      <c r="I17" s="321" t="s">
        <v>311</v>
      </c>
      <c r="J17" s="253">
        <v>0</v>
      </c>
      <c r="K17" s="321" t="s">
        <v>311</v>
      </c>
      <c r="L17" s="348">
        <v>0</v>
      </c>
      <c r="M17" s="2"/>
      <c r="N17" s="19">
        <v>61</v>
      </c>
      <c r="O17" s="127" t="s">
        <v>448</v>
      </c>
      <c r="P17" s="126"/>
      <c r="Q17" s="125" t="s">
        <v>330</v>
      </c>
      <c r="R17" s="124">
        <v>0.02</v>
      </c>
      <c r="S17" s="254" t="s">
        <v>311</v>
      </c>
      <c r="T17" s="253">
        <v>0</v>
      </c>
      <c r="U17" s="320" t="s">
        <v>311</v>
      </c>
      <c r="V17" s="325">
        <v>0</v>
      </c>
      <c r="W17" s="320" t="s">
        <v>311</v>
      </c>
      <c r="X17" s="348">
        <v>0</v>
      </c>
    </row>
    <row r="18" spans="2:24" ht="15" customHeight="1" x14ac:dyDescent="0.15">
      <c r="B18" s="13">
        <v>4</v>
      </c>
      <c r="C18" s="127" t="s">
        <v>447</v>
      </c>
      <c r="D18" s="126"/>
      <c r="E18" s="125" t="s">
        <v>338</v>
      </c>
      <c r="F18" s="132">
        <v>4.0000000000000001E-3</v>
      </c>
      <c r="G18" s="254" t="s">
        <v>471</v>
      </c>
      <c r="H18" s="253">
        <v>0</v>
      </c>
      <c r="I18" s="320" t="s">
        <v>471</v>
      </c>
      <c r="J18" s="253">
        <v>0</v>
      </c>
      <c r="K18" s="320" t="s">
        <v>471</v>
      </c>
      <c r="L18" s="348">
        <v>0</v>
      </c>
      <c r="M18" s="2"/>
      <c r="N18" s="19">
        <v>62</v>
      </c>
      <c r="O18" s="127" t="s">
        <v>574</v>
      </c>
      <c r="P18" s="126"/>
      <c r="Q18" s="125" t="s">
        <v>330</v>
      </c>
      <c r="R18" s="124">
        <v>2E-3</v>
      </c>
      <c r="S18" s="254" t="s">
        <v>577</v>
      </c>
      <c r="T18" s="253">
        <v>0</v>
      </c>
      <c r="U18" s="320" t="s">
        <v>577</v>
      </c>
      <c r="V18" s="325">
        <v>0</v>
      </c>
      <c r="W18" s="320" t="s">
        <v>577</v>
      </c>
      <c r="X18" s="348">
        <v>0</v>
      </c>
    </row>
    <row r="19" spans="2:24" ht="15" customHeight="1" x14ac:dyDescent="0.15">
      <c r="B19" s="13">
        <v>5</v>
      </c>
      <c r="C19" s="127" t="s">
        <v>446</v>
      </c>
      <c r="D19" s="126"/>
      <c r="E19" s="125" t="s">
        <v>330</v>
      </c>
      <c r="F19" s="132">
        <v>5.0000000000000001E-3</v>
      </c>
      <c r="G19" s="254" t="s">
        <v>305</v>
      </c>
      <c r="H19" s="253">
        <v>0</v>
      </c>
      <c r="I19" s="320" t="s">
        <v>305</v>
      </c>
      <c r="J19" s="253">
        <v>0</v>
      </c>
      <c r="K19" s="320" t="s">
        <v>305</v>
      </c>
      <c r="L19" s="348">
        <v>0</v>
      </c>
      <c r="M19" s="2"/>
      <c r="N19" s="19">
        <v>63</v>
      </c>
      <c r="O19" s="127" t="s">
        <v>575</v>
      </c>
      <c r="P19" s="126"/>
      <c r="Q19" s="125" t="s">
        <v>330</v>
      </c>
      <c r="R19" s="124">
        <v>0.02</v>
      </c>
      <c r="S19" s="254" t="s">
        <v>578</v>
      </c>
      <c r="T19" s="253">
        <v>0</v>
      </c>
      <c r="U19" s="320" t="s">
        <v>578</v>
      </c>
      <c r="V19" s="325">
        <v>0</v>
      </c>
      <c r="W19" s="320" t="s">
        <v>578</v>
      </c>
      <c r="X19" s="348">
        <v>0</v>
      </c>
    </row>
    <row r="20" spans="2:24" ht="15" customHeight="1" x14ac:dyDescent="0.15">
      <c r="B20" s="13">
        <v>6</v>
      </c>
      <c r="C20" s="127" t="s">
        <v>445</v>
      </c>
      <c r="D20" s="126"/>
      <c r="E20" s="125" t="s">
        <v>330</v>
      </c>
      <c r="F20" s="132">
        <v>0.9</v>
      </c>
      <c r="G20" s="254" t="s">
        <v>472</v>
      </c>
      <c r="H20" s="253">
        <v>0</v>
      </c>
      <c r="I20" s="320" t="s">
        <v>472</v>
      </c>
      <c r="J20" s="253">
        <v>0</v>
      </c>
      <c r="K20" s="320" t="s">
        <v>472</v>
      </c>
      <c r="L20" s="348">
        <v>0</v>
      </c>
      <c r="M20" s="2"/>
      <c r="N20" s="19">
        <v>64</v>
      </c>
      <c r="O20" s="127" t="s">
        <v>444</v>
      </c>
      <c r="P20" s="126"/>
      <c r="Q20" s="125" t="s">
        <v>330</v>
      </c>
      <c r="R20" s="124">
        <v>6.0000000000000001E-3</v>
      </c>
      <c r="S20" s="254" t="s">
        <v>473</v>
      </c>
      <c r="T20" s="253">
        <v>0</v>
      </c>
      <c r="U20" s="320" t="s">
        <v>473</v>
      </c>
      <c r="V20" s="325">
        <v>0</v>
      </c>
      <c r="W20" s="320" t="s">
        <v>473</v>
      </c>
      <c r="X20" s="348">
        <v>0</v>
      </c>
    </row>
    <row r="21" spans="2:24" ht="15" customHeight="1" x14ac:dyDescent="0.15">
      <c r="B21" s="13">
        <v>7</v>
      </c>
      <c r="C21" s="127" t="s">
        <v>443</v>
      </c>
      <c r="D21" s="126"/>
      <c r="E21" s="125" t="s">
        <v>332</v>
      </c>
      <c r="F21" s="132">
        <v>6.0000000000000001E-3</v>
      </c>
      <c r="G21" s="254" t="s">
        <v>473</v>
      </c>
      <c r="H21" s="253">
        <v>0</v>
      </c>
      <c r="I21" s="320" t="s">
        <v>473</v>
      </c>
      <c r="J21" s="253">
        <v>0</v>
      </c>
      <c r="K21" s="320" t="s">
        <v>473</v>
      </c>
      <c r="L21" s="348">
        <v>0</v>
      </c>
      <c r="M21" s="2"/>
      <c r="N21" s="19">
        <v>65</v>
      </c>
      <c r="O21" s="127" t="s">
        <v>442</v>
      </c>
      <c r="P21" s="126"/>
      <c r="Q21" s="125" t="s">
        <v>338</v>
      </c>
      <c r="R21" s="124">
        <v>5.0000000000000001E-3</v>
      </c>
      <c r="S21" s="254" t="s">
        <v>305</v>
      </c>
      <c r="T21" s="253">
        <v>0</v>
      </c>
      <c r="U21" s="320" t="s">
        <v>305</v>
      </c>
      <c r="V21" s="325">
        <v>0</v>
      </c>
      <c r="W21" s="320" t="s">
        <v>305</v>
      </c>
      <c r="X21" s="348">
        <v>0</v>
      </c>
    </row>
    <row r="22" spans="2:24" ht="30" customHeight="1" x14ac:dyDescent="0.15">
      <c r="B22" s="13">
        <v>8</v>
      </c>
      <c r="C22" s="127" t="s">
        <v>441</v>
      </c>
      <c r="D22" s="126"/>
      <c r="E22" s="125" t="s">
        <v>330</v>
      </c>
      <c r="F22" s="132">
        <v>0.01</v>
      </c>
      <c r="G22" s="254" t="s">
        <v>474</v>
      </c>
      <c r="H22" s="253">
        <v>0</v>
      </c>
      <c r="I22" s="320" t="s">
        <v>474</v>
      </c>
      <c r="J22" s="253">
        <v>0</v>
      </c>
      <c r="K22" s="320" t="s">
        <v>474</v>
      </c>
      <c r="L22" s="348">
        <v>0</v>
      </c>
      <c r="M22" s="2"/>
      <c r="N22" s="19">
        <v>66</v>
      </c>
      <c r="O22" s="127" t="s">
        <v>440</v>
      </c>
      <c r="P22" s="126"/>
      <c r="Q22" s="135" t="s">
        <v>415</v>
      </c>
      <c r="R22" s="124">
        <v>0.1</v>
      </c>
      <c r="S22" s="254" t="s">
        <v>306</v>
      </c>
      <c r="T22" s="253">
        <v>0</v>
      </c>
      <c r="U22" s="320" t="s">
        <v>306</v>
      </c>
      <c r="V22" s="325">
        <v>0</v>
      </c>
      <c r="W22" s="320" t="s">
        <v>306</v>
      </c>
      <c r="X22" s="348">
        <v>0</v>
      </c>
    </row>
    <row r="23" spans="2:24" ht="15" customHeight="1" x14ac:dyDescent="0.15">
      <c r="B23" s="13">
        <v>9</v>
      </c>
      <c r="C23" s="127" t="s">
        <v>439</v>
      </c>
      <c r="D23" s="126"/>
      <c r="E23" s="125" t="s">
        <v>330</v>
      </c>
      <c r="F23" s="132">
        <v>3.0000000000000001E-3</v>
      </c>
      <c r="G23" s="254" t="s">
        <v>475</v>
      </c>
      <c r="H23" s="253">
        <v>0</v>
      </c>
      <c r="I23" s="320" t="s">
        <v>475</v>
      </c>
      <c r="J23" s="253">
        <v>0</v>
      </c>
      <c r="K23" s="320" t="s">
        <v>475</v>
      </c>
      <c r="L23" s="348">
        <v>0</v>
      </c>
      <c r="M23" s="2"/>
      <c r="N23" s="19">
        <v>67</v>
      </c>
      <c r="O23" s="127" t="s">
        <v>438</v>
      </c>
      <c r="P23" s="126"/>
      <c r="Q23" s="125" t="s">
        <v>330</v>
      </c>
      <c r="R23" s="124">
        <v>0.06</v>
      </c>
      <c r="S23" s="254" t="s">
        <v>486</v>
      </c>
      <c r="T23" s="253">
        <v>0</v>
      </c>
      <c r="U23" s="320" t="s">
        <v>486</v>
      </c>
      <c r="V23" s="325">
        <v>0</v>
      </c>
      <c r="W23" s="320" t="s">
        <v>486</v>
      </c>
      <c r="X23" s="348">
        <v>0</v>
      </c>
    </row>
    <row r="24" spans="2:24" ht="15" customHeight="1" x14ac:dyDescent="0.15">
      <c r="B24" s="13">
        <v>10</v>
      </c>
      <c r="C24" s="127" t="s">
        <v>437</v>
      </c>
      <c r="D24" s="126"/>
      <c r="E24" s="125" t="s">
        <v>338</v>
      </c>
      <c r="F24" s="132">
        <v>6.0000000000000001E-3</v>
      </c>
      <c r="G24" s="254" t="s">
        <v>473</v>
      </c>
      <c r="H24" s="253">
        <v>0</v>
      </c>
      <c r="I24" s="320" t="s">
        <v>473</v>
      </c>
      <c r="J24" s="253">
        <v>0</v>
      </c>
      <c r="K24" s="320" t="s">
        <v>473</v>
      </c>
      <c r="L24" s="348">
        <v>0</v>
      </c>
      <c r="M24" s="2"/>
      <c r="N24" s="19">
        <v>68</v>
      </c>
      <c r="O24" s="127" t="s">
        <v>436</v>
      </c>
      <c r="P24" s="126"/>
      <c r="Q24" s="125" t="s">
        <v>330</v>
      </c>
      <c r="R24" s="124">
        <v>0.03</v>
      </c>
      <c r="S24" s="254" t="s">
        <v>304</v>
      </c>
      <c r="T24" s="253">
        <v>0</v>
      </c>
      <c r="U24" s="320" t="s">
        <v>304</v>
      </c>
      <c r="V24" s="325">
        <v>0</v>
      </c>
      <c r="W24" s="320" t="s">
        <v>304</v>
      </c>
      <c r="X24" s="348">
        <v>0</v>
      </c>
    </row>
    <row r="25" spans="2:24" ht="15" customHeight="1" x14ac:dyDescent="0.15">
      <c r="B25" s="13">
        <v>11</v>
      </c>
      <c r="C25" s="127" t="s">
        <v>435</v>
      </c>
      <c r="D25" s="126"/>
      <c r="E25" s="125" t="s">
        <v>330</v>
      </c>
      <c r="F25" s="132">
        <v>0.03</v>
      </c>
      <c r="G25" s="254" t="s">
        <v>304</v>
      </c>
      <c r="H25" s="253">
        <v>0</v>
      </c>
      <c r="I25" s="320" t="s">
        <v>304</v>
      </c>
      <c r="J25" s="253">
        <v>0</v>
      </c>
      <c r="K25" s="320" t="s">
        <v>304</v>
      </c>
      <c r="L25" s="348">
        <v>0</v>
      </c>
      <c r="M25" s="2"/>
      <c r="N25" s="19">
        <v>69</v>
      </c>
      <c r="O25" s="127" t="s">
        <v>434</v>
      </c>
      <c r="P25" s="126"/>
      <c r="Q25" s="125" t="s">
        <v>330</v>
      </c>
      <c r="R25" s="124">
        <v>5.0000000000000001E-3</v>
      </c>
      <c r="S25" s="254" t="s">
        <v>305</v>
      </c>
      <c r="T25" s="253">
        <v>0</v>
      </c>
      <c r="U25" s="320" t="s">
        <v>305</v>
      </c>
      <c r="V25" s="325">
        <v>0</v>
      </c>
      <c r="W25" s="320" t="s">
        <v>305</v>
      </c>
      <c r="X25" s="348">
        <v>0</v>
      </c>
    </row>
    <row r="26" spans="2:24" ht="15" customHeight="1" x14ac:dyDescent="0.15">
      <c r="B26" s="13">
        <v>12</v>
      </c>
      <c r="C26" s="127" t="s">
        <v>433</v>
      </c>
      <c r="D26" s="126"/>
      <c r="E26" s="125" t="s">
        <v>338</v>
      </c>
      <c r="F26" s="132">
        <v>5.0000000000000001E-3</v>
      </c>
      <c r="G26" s="254" t="s">
        <v>305</v>
      </c>
      <c r="H26" s="253">
        <v>0</v>
      </c>
      <c r="I26" s="320" t="s">
        <v>305</v>
      </c>
      <c r="J26" s="253">
        <v>0</v>
      </c>
      <c r="K26" s="320" t="s">
        <v>305</v>
      </c>
      <c r="L26" s="348">
        <v>0</v>
      </c>
      <c r="M26" s="2"/>
      <c r="N26" s="19">
        <v>70</v>
      </c>
      <c r="O26" s="127" t="s">
        <v>432</v>
      </c>
      <c r="P26" s="126"/>
      <c r="Q26" s="125" t="s">
        <v>330</v>
      </c>
      <c r="R26" s="124">
        <v>8.9999999999999998E-4</v>
      </c>
      <c r="S26" s="254" t="s">
        <v>487</v>
      </c>
      <c r="T26" s="253">
        <v>0</v>
      </c>
      <c r="U26" s="320" t="s">
        <v>487</v>
      </c>
      <c r="V26" s="325">
        <v>0</v>
      </c>
      <c r="W26" s="320" t="s">
        <v>487</v>
      </c>
      <c r="X26" s="348">
        <v>0</v>
      </c>
    </row>
    <row r="27" spans="2:24" ht="15" customHeight="1" x14ac:dyDescent="0.15">
      <c r="B27" s="13">
        <v>13</v>
      </c>
      <c r="C27" s="127" t="s">
        <v>431</v>
      </c>
      <c r="D27" s="126"/>
      <c r="E27" s="125" t="s">
        <v>377</v>
      </c>
      <c r="F27" s="132">
        <v>1E-3</v>
      </c>
      <c r="G27" s="254" t="s">
        <v>476</v>
      </c>
      <c r="H27" s="253">
        <v>0</v>
      </c>
      <c r="I27" s="320" t="s">
        <v>476</v>
      </c>
      <c r="J27" s="253">
        <v>0</v>
      </c>
      <c r="K27" s="320" t="s">
        <v>476</v>
      </c>
      <c r="L27" s="348">
        <v>0</v>
      </c>
      <c r="M27" s="2"/>
      <c r="N27" s="19">
        <v>71</v>
      </c>
      <c r="O27" s="127" t="s">
        <v>430</v>
      </c>
      <c r="P27" s="126"/>
      <c r="Q27" s="125" t="s">
        <v>330</v>
      </c>
      <c r="R27" s="124">
        <v>0.01</v>
      </c>
      <c r="S27" s="254" t="s">
        <v>474</v>
      </c>
      <c r="T27" s="253">
        <v>0</v>
      </c>
      <c r="U27" s="320" t="s">
        <v>474</v>
      </c>
      <c r="V27" s="325">
        <v>0</v>
      </c>
      <c r="W27" s="320" t="s">
        <v>474</v>
      </c>
      <c r="X27" s="348">
        <v>0</v>
      </c>
    </row>
    <row r="28" spans="2:24" ht="15" customHeight="1" x14ac:dyDescent="0.15">
      <c r="B28" s="13">
        <v>14</v>
      </c>
      <c r="C28" s="127" t="s">
        <v>429</v>
      </c>
      <c r="D28" s="126"/>
      <c r="E28" s="125" t="s">
        <v>338</v>
      </c>
      <c r="F28" s="132">
        <v>0.01</v>
      </c>
      <c r="G28" s="254" t="s">
        <v>474</v>
      </c>
      <c r="H28" s="253">
        <v>0</v>
      </c>
      <c r="I28" s="320" t="s">
        <v>474</v>
      </c>
      <c r="J28" s="253">
        <v>0</v>
      </c>
      <c r="K28" s="320" t="s">
        <v>474</v>
      </c>
      <c r="L28" s="348">
        <v>0</v>
      </c>
      <c r="M28" s="2"/>
      <c r="N28" s="19">
        <v>72</v>
      </c>
      <c r="O28" s="127" t="s">
        <v>428</v>
      </c>
      <c r="P28" s="126"/>
      <c r="Q28" s="125" t="s">
        <v>330</v>
      </c>
      <c r="R28" s="124">
        <v>4.0000000000000001E-3</v>
      </c>
      <c r="S28" s="254" t="s">
        <v>471</v>
      </c>
      <c r="T28" s="253">
        <v>0</v>
      </c>
      <c r="U28" s="320" t="s">
        <v>471</v>
      </c>
      <c r="V28" s="325">
        <v>0</v>
      </c>
      <c r="W28" s="320" t="s">
        <v>471</v>
      </c>
      <c r="X28" s="348">
        <v>0</v>
      </c>
    </row>
    <row r="29" spans="2:24" ht="30" customHeight="1" x14ac:dyDescent="0.15">
      <c r="B29" s="13">
        <v>15</v>
      </c>
      <c r="C29" s="127" t="s">
        <v>427</v>
      </c>
      <c r="D29" s="126"/>
      <c r="E29" s="135" t="s">
        <v>415</v>
      </c>
      <c r="F29" s="132">
        <v>0.3</v>
      </c>
      <c r="G29" s="254" t="s">
        <v>323</v>
      </c>
      <c r="H29" s="253">
        <v>0</v>
      </c>
      <c r="I29" s="320" t="s">
        <v>323</v>
      </c>
      <c r="J29" s="253">
        <v>0</v>
      </c>
      <c r="K29" s="320" t="s">
        <v>323</v>
      </c>
      <c r="L29" s="348">
        <v>0</v>
      </c>
      <c r="M29" s="2"/>
      <c r="N29" s="19">
        <v>73</v>
      </c>
      <c r="O29" s="127" t="s">
        <v>426</v>
      </c>
      <c r="P29" s="126"/>
      <c r="Q29" s="125" t="s">
        <v>330</v>
      </c>
      <c r="R29" s="124">
        <v>0.02</v>
      </c>
      <c r="S29" s="254" t="s">
        <v>311</v>
      </c>
      <c r="T29" s="253">
        <v>0</v>
      </c>
      <c r="U29" s="320" t="s">
        <v>311</v>
      </c>
      <c r="V29" s="325">
        <v>0</v>
      </c>
      <c r="W29" s="320" t="s">
        <v>311</v>
      </c>
      <c r="X29" s="348">
        <v>0</v>
      </c>
    </row>
    <row r="30" spans="2:24" ht="15" customHeight="1" x14ac:dyDescent="0.15">
      <c r="B30" s="13">
        <v>16</v>
      </c>
      <c r="C30" s="127" t="s">
        <v>497</v>
      </c>
      <c r="D30" s="126"/>
      <c r="E30" s="125" t="s">
        <v>330</v>
      </c>
      <c r="F30" s="132">
        <v>2E-3</v>
      </c>
      <c r="G30" s="254" t="s">
        <v>485</v>
      </c>
      <c r="H30" s="253">
        <v>0</v>
      </c>
      <c r="I30" s="320" t="s">
        <v>485</v>
      </c>
      <c r="J30" s="253">
        <v>0</v>
      </c>
      <c r="K30" s="320" t="s">
        <v>485</v>
      </c>
      <c r="L30" s="348">
        <v>0</v>
      </c>
      <c r="M30" s="2"/>
      <c r="N30" s="19">
        <v>74</v>
      </c>
      <c r="O30" s="127" t="s">
        <v>424</v>
      </c>
      <c r="P30" s="126"/>
      <c r="Q30" s="125" t="s">
        <v>338</v>
      </c>
      <c r="R30" s="124"/>
      <c r="S30" s="254" t="s">
        <v>485</v>
      </c>
      <c r="T30" s="253">
        <v>0</v>
      </c>
      <c r="U30" s="320" t="s">
        <v>485</v>
      </c>
      <c r="V30" s="325">
        <v>0</v>
      </c>
      <c r="W30" s="320" t="s">
        <v>485</v>
      </c>
      <c r="X30" s="348">
        <v>0</v>
      </c>
    </row>
    <row r="31" spans="2:24" ht="15" customHeight="1" x14ac:dyDescent="0.15">
      <c r="B31" s="13">
        <v>17</v>
      </c>
      <c r="C31" s="127" t="s">
        <v>425</v>
      </c>
      <c r="D31" s="126"/>
      <c r="E31" s="125" t="s">
        <v>377</v>
      </c>
      <c r="F31" s="132">
        <v>0.09</v>
      </c>
      <c r="G31" s="254" t="s">
        <v>477</v>
      </c>
      <c r="H31" s="253">
        <v>0</v>
      </c>
      <c r="I31" s="320" t="s">
        <v>477</v>
      </c>
      <c r="J31" s="253">
        <v>0</v>
      </c>
      <c r="K31" s="320" t="s">
        <v>477</v>
      </c>
      <c r="L31" s="348">
        <v>0</v>
      </c>
      <c r="M31" s="2"/>
      <c r="N31" s="19">
        <v>75</v>
      </c>
      <c r="O31" s="127" t="s">
        <v>422</v>
      </c>
      <c r="P31" s="126"/>
      <c r="Q31" s="125" t="s">
        <v>330</v>
      </c>
      <c r="R31" s="124">
        <v>0.02</v>
      </c>
      <c r="S31" s="254" t="s">
        <v>311</v>
      </c>
      <c r="T31" s="253">
        <v>0</v>
      </c>
      <c r="U31" s="320" t="s">
        <v>311</v>
      </c>
      <c r="V31" s="325">
        <v>0</v>
      </c>
      <c r="W31" s="320" t="s">
        <v>311</v>
      </c>
      <c r="X31" s="348">
        <v>0</v>
      </c>
    </row>
    <row r="32" spans="2:24" ht="15" customHeight="1" x14ac:dyDescent="0.15">
      <c r="B32" s="13">
        <v>18</v>
      </c>
      <c r="C32" s="127" t="s">
        <v>423</v>
      </c>
      <c r="D32" s="126"/>
      <c r="E32" s="125" t="s">
        <v>332</v>
      </c>
      <c r="F32" s="132">
        <v>6.0000000000000001E-3</v>
      </c>
      <c r="G32" s="254" t="s">
        <v>473</v>
      </c>
      <c r="H32" s="253">
        <v>0</v>
      </c>
      <c r="I32" s="320" t="s">
        <v>473</v>
      </c>
      <c r="J32" s="253">
        <v>0</v>
      </c>
      <c r="K32" s="320" t="s">
        <v>473</v>
      </c>
      <c r="L32" s="348">
        <v>0</v>
      </c>
      <c r="M32" s="2"/>
      <c r="N32" s="19">
        <v>76</v>
      </c>
      <c r="O32" s="127" t="s">
        <v>420</v>
      </c>
      <c r="P32" s="126"/>
      <c r="Q32" s="125" t="s">
        <v>332</v>
      </c>
      <c r="R32" s="124">
        <v>0.05</v>
      </c>
      <c r="S32" s="254" t="s">
        <v>316</v>
      </c>
      <c r="T32" s="253">
        <v>0</v>
      </c>
      <c r="U32" s="320" t="s">
        <v>316</v>
      </c>
      <c r="V32" s="325">
        <v>0</v>
      </c>
      <c r="W32" s="320" t="s">
        <v>316</v>
      </c>
      <c r="X32" s="348">
        <v>0</v>
      </c>
    </row>
    <row r="33" spans="2:24" ht="15" customHeight="1" x14ac:dyDescent="0.15">
      <c r="B33" s="13">
        <v>19</v>
      </c>
      <c r="C33" s="127" t="s">
        <v>421</v>
      </c>
      <c r="D33" s="126"/>
      <c r="E33" s="125" t="s">
        <v>330</v>
      </c>
      <c r="F33" s="132">
        <v>8.9999999999999993E-3</v>
      </c>
      <c r="G33" s="254" t="s">
        <v>478</v>
      </c>
      <c r="H33" s="253">
        <v>0</v>
      </c>
      <c r="I33" s="320" t="s">
        <v>478</v>
      </c>
      <c r="J33" s="253">
        <v>0</v>
      </c>
      <c r="K33" s="320" t="s">
        <v>478</v>
      </c>
      <c r="L33" s="348">
        <v>0</v>
      </c>
      <c r="M33" s="2"/>
      <c r="N33" s="19">
        <v>77</v>
      </c>
      <c r="O33" s="127" t="s">
        <v>418</v>
      </c>
      <c r="P33" s="126"/>
      <c r="Q33" s="125" t="s">
        <v>332</v>
      </c>
      <c r="R33" s="124">
        <v>5.0000000000000001E-4</v>
      </c>
      <c r="S33" s="254" t="s">
        <v>488</v>
      </c>
      <c r="T33" s="253">
        <v>0</v>
      </c>
      <c r="U33" s="320" t="s">
        <v>488</v>
      </c>
      <c r="V33" s="325">
        <v>0</v>
      </c>
      <c r="W33" s="320" t="s">
        <v>488</v>
      </c>
      <c r="X33" s="348">
        <v>0</v>
      </c>
    </row>
    <row r="34" spans="2:24" ht="30" customHeight="1" x14ac:dyDescent="0.15">
      <c r="B34" s="13">
        <v>20</v>
      </c>
      <c r="C34" s="127" t="s">
        <v>419</v>
      </c>
      <c r="D34" s="126"/>
      <c r="E34" s="125" t="s">
        <v>330</v>
      </c>
      <c r="F34" s="132">
        <v>0.03</v>
      </c>
      <c r="G34" s="254" t="s">
        <v>304</v>
      </c>
      <c r="H34" s="253">
        <v>0</v>
      </c>
      <c r="I34" s="320" t="s">
        <v>304</v>
      </c>
      <c r="J34" s="253">
        <v>0</v>
      </c>
      <c r="K34" s="320" t="s">
        <v>304</v>
      </c>
      <c r="L34" s="348">
        <v>0</v>
      </c>
      <c r="M34" s="2"/>
      <c r="N34" s="19">
        <v>78</v>
      </c>
      <c r="O34" s="127" t="s">
        <v>416</v>
      </c>
      <c r="P34" s="126"/>
      <c r="Q34" s="135" t="s">
        <v>415</v>
      </c>
      <c r="R34" s="124">
        <v>0.01</v>
      </c>
      <c r="S34" s="254" t="s">
        <v>474</v>
      </c>
      <c r="T34" s="253">
        <v>0</v>
      </c>
      <c r="U34" s="320" t="s">
        <v>474</v>
      </c>
      <c r="V34" s="325">
        <v>0</v>
      </c>
      <c r="W34" s="320" t="s">
        <v>474</v>
      </c>
      <c r="X34" s="348">
        <v>0</v>
      </c>
    </row>
    <row r="35" spans="2:24" ht="15" customHeight="1" x14ac:dyDescent="0.15">
      <c r="B35" s="13">
        <v>21</v>
      </c>
      <c r="C35" s="127" t="s">
        <v>417</v>
      </c>
      <c r="D35" s="126"/>
      <c r="E35" s="125" t="s">
        <v>332</v>
      </c>
      <c r="F35" s="132">
        <v>0.08</v>
      </c>
      <c r="G35" s="254" t="s">
        <v>479</v>
      </c>
      <c r="H35" s="253">
        <v>0</v>
      </c>
      <c r="I35" s="320" t="s">
        <v>479</v>
      </c>
      <c r="J35" s="253">
        <v>0</v>
      </c>
      <c r="K35" s="320" t="s">
        <v>479</v>
      </c>
      <c r="L35" s="348">
        <v>0</v>
      </c>
      <c r="M35" s="2"/>
      <c r="N35" s="19">
        <v>79</v>
      </c>
      <c r="O35" s="127" t="s">
        <v>413</v>
      </c>
      <c r="P35" s="126"/>
      <c r="Q35" s="125" t="s">
        <v>332</v>
      </c>
      <c r="R35" s="124">
        <v>0.03</v>
      </c>
      <c r="S35" s="254" t="s">
        <v>304</v>
      </c>
      <c r="T35" s="253">
        <v>0</v>
      </c>
      <c r="U35" s="320" t="s">
        <v>304</v>
      </c>
      <c r="V35" s="325">
        <v>0</v>
      </c>
      <c r="W35" s="320" t="s">
        <v>304</v>
      </c>
      <c r="X35" s="348">
        <v>0</v>
      </c>
    </row>
    <row r="36" spans="2:24" ht="15" customHeight="1" x14ac:dyDescent="0.15">
      <c r="B36" s="13">
        <v>22</v>
      </c>
      <c r="C36" s="127" t="s">
        <v>414</v>
      </c>
      <c r="D36" s="126"/>
      <c r="E36" s="125" t="s">
        <v>338</v>
      </c>
      <c r="F36" s="132">
        <v>0.01</v>
      </c>
      <c r="G36" s="254" t="s">
        <v>474</v>
      </c>
      <c r="H36" s="253">
        <v>0</v>
      </c>
      <c r="I36" s="320" t="s">
        <v>474</v>
      </c>
      <c r="J36" s="253">
        <v>0</v>
      </c>
      <c r="K36" s="320" t="s">
        <v>474</v>
      </c>
      <c r="L36" s="348">
        <v>0</v>
      </c>
      <c r="M36" s="2"/>
      <c r="N36" s="19">
        <v>80</v>
      </c>
      <c r="O36" s="127" t="s">
        <v>411</v>
      </c>
      <c r="P36" s="126"/>
      <c r="Q36" s="125" t="s">
        <v>332</v>
      </c>
      <c r="R36" s="124">
        <v>0.05</v>
      </c>
      <c r="S36" s="254" t="s">
        <v>316</v>
      </c>
      <c r="T36" s="253">
        <v>0</v>
      </c>
      <c r="U36" s="320" t="s">
        <v>316</v>
      </c>
      <c r="V36" s="325">
        <v>0</v>
      </c>
      <c r="W36" s="320" t="s">
        <v>316</v>
      </c>
      <c r="X36" s="348">
        <v>0</v>
      </c>
    </row>
    <row r="37" spans="2:24" ht="15" customHeight="1" x14ac:dyDescent="0.15">
      <c r="B37" s="13">
        <v>23</v>
      </c>
      <c r="C37" s="127" t="s">
        <v>412</v>
      </c>
      <c r="D37" s="126"/>
      <c r="E37" s="125" t="s">
        <v>330</v>
      </c>
      <c r="F37" s="132">
        <v>0.02</v>
      </c>
      <c r="G37" s="254" t="s">
        <v>311</v>
      </c>
      <c r="H37" s="253">
        <v>0</v>
      </c>
      <c r="I37" s="320" t="s">
        <v>311</v>
      </c>
      <c r="J37" s="253">
        <v>0</v>
      </c>
      <c r="K37" s="320" t="s">
        <v>311</v>
      </c>
      <c r="L37" s="348">
        <v>0</v>
      </c>
      <c r="M37" s="2"/>
      <c r="N37" s="19">
        <v>81</v>
      </c>
      <c r="O37" s="127" t="s">
        <v>409</v>
      </c>
      <c r="P37" s="126"/>
      <c r="Q37" s="125" t="s">
        <v>338</v>
      </c>
      <c r="R37" s="124">
        <v>6.0000000000000001E-3</v>
      </c>
      <c r="S37" s="254" t="s">
        <v>473</v>
      </c>
      <c r="T37" s="253">
        <v>0</v>
      </c>
      <c r="U37" s="320" t="s">
        <v>473</v>
      </c>
      <c r="V37" s="325">
        <v>0</v>
      </c>
      <c r="W37" s="320" t="s">
        <v>473</v>
      </c>
      <c r="X37" s="348">
        <v>0</v>
      </c>
    </row>
    <row r="38" spans="2:24" ht="15" customHeight="1" x14ac:dyDescent="0.15">
      <c r="B38" s="13">
        <v>24</v>
      </c>
      <c r="C38" s="127" t="s">
        <v>410</v>
      </c>
      <c r="D38" s="126"/>
      <c r="E38" s="125" t="s">
        <v>332</v>
      </c>
      <c r="F38" s="132">
        <v>0.03</v>
      </c>
      <c r="G38" s="254" t="s">
        <v>304</v>
      </c>
      <c r="H38" s="253">
        <v>0</v>
      </c>
      <c r="I38" s="320" t="s">
        <v>304</v>
      </c>
      <c r="J38" s="253">
        <v>0</v>
      </c>
      <c r="K38" s="320" t="s">
        <v>304</v>
      </c>
      <c r="L38" s="348">
        <v>0</v>
      </c>
      <c r="M38" s="2"/>
      <c r="N38" s="19">
        <v>82</v>
      </c>
      <c r="O38" s="127" t="s">
        <v>407</v>
      </c>
      <c r="P38" s="126"/>
      <c r="Q38" s="125" t="s">
        <v>332</v>
      </c>
      <c r="R38" s="124">
        <v>7.0000000000000001E-3</v>
      </c>
      <c r="S38" s="254" t="s">
        <v>489</v>
      </c>
      <c r="T38" s="253">
        <v>0</v>
      </c>
      <c r="U38" s="320" t="s">
        <v>489</v>
      </c>
      <c r="V38" s="325">
        <v>0</v>
      </c>
      <c r="W38" s="320" t="s">
        <v>489</v>
      </c>
      <c r="X38" s="348">
        <v>0</v>
      </c>
    </row>
    <row r="39" spans="2:24" ht="15" customHeight="1" x14ac:dyDescent="0.15">
      <c r="B39" s="13">
        <v>25</v>
      </c>
      <c r="C39" s="127" t="s">
        <v>408</v>
      </c>
      <c r="D39" s="126"/>
      <c r="E39" s="125" t="s">
        <v>332</v>
      </c>
      <c r="F39" s="132">
        <v>0.1</v>
      </c>
      <c r="G39" s="254" t="s">
        <v>306</v>
      </c>
      <c r="H39" s="253">
        <v>0</v>
      </c>
      <c r="I39" s="320" t="s">
        <v>306</v>
      </c>
      <c r="J39" s="253">
        <v>0</v>
      </c>
      <c r="K39" s="320" t="s">
        <v>306</v>
      </c>
      <c r="L39" s="348">
        <v>0</v>
      </c>
      <c r="M39" s="2"/>
      <c r="N39" s="19">
        <v>83</v>
      </c>
      <c r="O39" s="127" t="s">
        <v>405</v>
      </c>
      <c r="P39" s="126"/>
      <c r="Q39" s="125" t="s">
        <v>330</v>
      </c>
      <c r="R39" s="124">
        <v>0.01</v>
      </c>
      <c r="S39" s="254" t="s">
        <v>474</v>
      </c>
      <c r="T39" s="253">
        <v>0</v>
      </c>
      <c r="U39" s="320" t="s">
        <v>474</v>
      </c>
      <c r="V39" s="325">
        <v>0</v>
      </c>
      <c r="W39" s="320" t="s">
        <v>474</v>
      </c>
      <c r="X39" s="348">
        <v>0</v>
      </c>
    </row>
    <row r="40" spans="2:24" ht="15" customHeight="1" x14ac:dyDescent="0.15">
      <c r="B40" s="13">
        <v>26</v>
      </c>
      <c r="C40" s="127" t="s">
        <v>406</v>
      </c>
      <c r="D40" s="126"/>
      <c r="E40" s="125" t="s">
        <v>338</v>
      </c>
      <c r="F40" s="132">
        <v>5.9999999999999995E-4</v>
      </c>
      <c r="G40" s="254" t="s">
        <v>480</v>
      </c>
      <c r="H40" s="253">
        <v>0</v>
      </c>
      <c r="I40" s="320" t="s">
        <v>480</v>
      </c>
      <c r="J40" s="253">
        <v>0</v>
      </c>
      <c r="K40" s="320" t="s">
        <v>480</v>
      </c>
      <c r="L40" s="348">
        <v>0</v>
      </c>
      <c r="M40" s="2"/>
      <c r="N40" s="19">
        <v>84</v>
      </c>
      <c r="O40" s="127" t="s">
        <v>403</v>
      </c>
      <c r="P40" s="126"/>
      <c r="Q40" s="125" t="s">
        <v>332</v>
      </c>
      <c r="R40" s="124">
        <v>0.1</v>
      </c>
      <c r="S40" s="254" t="s">
        <v>306</v>
      </c>
      <c r="T40" s="253">
        <v>0</v>
      </c>
      <c r="U40" s="320" t="s">
        <v>306</v>
      </c>
      <c r="V40" s="325">
        <v>0</v>
      </c>
      <c r="W40" s="320" t="s">
        <v>306</v>
      </c>
      <c r="X40" s="348">
        <v>0</v>
      </c>
    </row>
    <row r="41" spans="2:24" ht="15" customHeight="1" x14ac:dyDescent="0.15">
      <c r="B41" s="13">
        <v>27</v>
      </c>
      <c r="C41" s="127" t="s">
        <v>404</v>
      </c>
      <c r="D41" s="126"/>
      <c r="E41" s="125" t="s">
        <v>379</v>
      </c>
      <c r="F41" s="132">
        <v>8.0000000000000002E-3</v>
      </c>
      <c r="G41" s="254" t="s">
        <v>481</v>
      </c>
      <c r="H41" s="253">
        <v>0</v>
      </c>
      <c r="I41" s="320" t="s">
        <v>481</v>
      </c>
      <c r="J41" s="253">
        <v>0</v>
      </c>
      <c r="K41" s="320" t="s">
        <v>481</v>
      </c>
      <c r="L41" s="348">
        <v>0</v>
      </c>
      <c r="M41" s="161"/>
      <c r="N41" s="19">
        <v>85</v>
      </c>
      <c r="O41" s="127" t="s">
        <v>401</v>
      </c>
      <c r="P41" s="126"/>
      <c r="Q41" s="125" t="s">
        <v>330</v>
      </c>
      <c r="R41" s="124">
        <v>0.03</v>
      </c>
      <c r="S41" s="254" t="s">
        <v>304</v>
      </c>
      <c r="T41" s="253">
        <v>0</v>
      </c>
      <c r="U41" s="320" t="s">
        <v>304</v>
      </c>
      <c r="V41" s="325">
        <v>0</v>
      </c>
      <c r="W41" s="320" t="s">
        <v>304</v>
      </c>
      <c r="X41" s="348">
        <v>0</v>
      </c>
    </row>
    <row r="42" spans="2:24" ht="30" customHeight="1" x14ac:dyDescent="0.15">
      <c r="B42" s="13">
        <v>28</v>
      </c>
      <c r="C42" s="127" t="s">
        <v>402</v>
      </c>
      <c r="D42" s="126"/>
      <c r="E42" s="135" t="s">
        <v>342</v>
      </c>
      <c r="F42" s="132">
        <v>0.08</v>
      </c>
      <c r="G42" s="254" t="s">
        <v>482</v>
      </c>
      <c r="H42" s="253">
        <v>0</v>
      </c>
      <c r="I42" s="320" t="s">
        <v>479</v>
      </c>
      <c r="J42" s="253">
        <v>0</v>
      </c>
      <c r="K42" s="320" t="s">
        <v>479</v>
      </c>
      <c r="L42" s="348">
        <v>0</v>
      </c>
      <c r="M42" s="2"/>
      <c r="N42" s="19">
        <v>86</v>
      </c>
      <c r="O42" s="127" t="s">
        <v>399</v>
      </c>
      <c r="P42" s="126"/>
      <c r="Q42" s="125" t="s">
        <v>330</v>
      </c>
      <c r="R42" s="124">
        <v>0.02</v>
      </c>
      <c r="S42" s="254" t="s">
        <v>311</v>
      </c>
      <c r="T42" s="253">
        <v>0</v>
      </c>
      <c r="U42" s="320" t="s">
        <v>311</v>
      </c>
      <c r="V42" s="325">
        <v>0</v>
      </c>
      <c r="W42" s="320" t="s">
        <v>311</v>
      </c>
      <c r="X42" s="348">
        <v>0</v>
      </c>
    </row>
    <row r="43" spans="2:24" ht="15" customHeight="1" x14ac:dyDescent="0.15">
      <c r="B43" s="13">
        <v>29</v>
      </c>
      <c r="C43" s="127" t="s">
        <v>400</v>
      </c>
      <c r="D43" s="126"/>
      <c r="E43" s="125" t="s">
        <v>338</v>
      </c>
      <c r="F43" s="132">
        <v>0.02</v>
      </c>
      <c r="G43" s="254" t="s">
        <v>311</v>
      </c>
      <c r="H43" s="253">
        <v>0</v>
      </c>
      <c r="I43" s="320" t="s">
        <v>311</v>
      </c>
      <c r="J43" s="253">
        <v>0</v>
      </c>
      <c r="K43" s="320" t="s">
        <v>311</v>
      </c>
      <c r="L43" s="348">
        <v>0</v>
      </c>
      <c r="M43" s="2"/>
      <c r="N43" s="19">
        <v>87</v>
      </c>
      <c r="O43" s="127" t="s">
        <v>396</v>
      </c>
      <c r="P43" s="126"/>
      <c r="Q43" s="125" t="s">
        <v>332</v>
      </c>
      <c r="R43" s="124">
        <v>0.02</v>
      </c>
      <c r="S43" s="254" t="s">
        <v>311</v>
      </c>
      <c r="T43" s="253">
        <v>0</v>
      </c>
      <c r="U43" s="320" t="s">
        <v>311</v>
      </c>
      <c r="V43" s="325">
        <v>0</v>
      </c>
      <c r="W43" s="320" t="s">
        <v>311</v>
      </c>
      <c r="X43" s="348">
        <v>0</v>
      </c>
    </row>
    <row r="44" spans="2:24" ht="15" customHeight="1" x14ac:dyDescent="0.15">
      <c r="B44" s="13">
        <v>30</v>
      </c>
      <c r="C44" s="127" t="s">
        <v>398</v>
      </c>
      <c r="D44" s="126"/>
      <c r="E44" s="135" t="s">
        <v>397</v>
      </c>
      <c r="F44" s="132">
        <v>2.9999999999999997E-4</v>
      </c>
      <c r="G44" s="254" t="s">
        <v>494</v>
      </c>
      <c r="H44" s="253">
        <v>0</v>
      </c>
      <c r="I44" s="320" t="s">
        <v>539</v>
      </c>
      <c r="J44" s="253">
        <v>0</v>
      </c>
      <c r="K44" s="320" t="s">
        <v>539</v>
      </c>
      <c r="L44" s="348">
        <v>0</v>
      </c>
      <c r="M44" s="2"/>
      <c r="N44" s="19">
        <v>88</v>
      </c>
      <c r="O44" s="127" t="s">
        <v>394</v>
      </c>
      <c r="P44" s="126"/>
      <c r="Q44" s="125" t="s">
        <v>377</v>
      </c>
      <c r="R44" s="124">
        <v>0.03</v>
      </c>
      <c r="S44" s="254" t="s">
        <v>304</v>
      </c>
      <c r="T44" s="253">
        <v>0</v>
      </c>
      <c r="U44" s="320" t="s">
        <v>304</v>
      </c>
      <c r="V44" s="325">
        <v>0</v>
      </c>
      <c r="W44" s="320" t="s">
        <v>304</v>
      </c>
      <c r="X44" s="348">
        <v>0</v>
      </c>
    </row>
    <row r="45" spans="2:24" ht="15" customHeight="1" x14ac:dyDescent="0.15">
      <c r="B45" s="13">
        <v>31</v>
      </c>
      <c r="C45" s="127" t="s">
        <v>395</v>
      </c>
      <c r="D45" s="126"/>
      <c r="E45" s="125" t="s">
        <v>330</v>
      </c>
      <c r="F45" s="132">
        <v>5.0000000000000001E-3</v>
      </c>
      <c r="G45" s="254" t="s">
        <v>305</v>
      </c>
      <c r="H45" s="253">
        <v>0</v>
      </c>
      <c r="I45" s="320" t="s">
        <v>305</v>
      </c>
      <c r="J45" s="253">
        <v>0</v>
      </c>
      <c r="K45" s="320" t="s">
        <v>305</v>
      </c>
      <c r="L45" s="348">
        <v>0</v>
      </c>
      <c r="M45" s="2"/>
      <c r="N45" s="19">
        <v>89</v>
      </c>
      <c r="O45" s="127" t="s">
        <v>392</v>
      </c>
      <c r="P45" s="126"/>
      <c r="Q45" s="125" t="s">
        <v>330</v>
      </c>
      <c r="R45" s="124">
        <v>0.05</v>
      </c>
      <c r="S45" s="254" t="s">
        <v>316</v>
      </c>
      <c r="T45" s="253">
        <v>0</v>
      </c>
      <c r="U45" s="320" t="s">
        <v>316</v>
      </c>
      <c r="V45" s="325">
        <v>0</v>
      </c>
      <c r="W45" s="320" t="s">
        <v>316</v>
      </c>
      <c r="X45" s="348">
        <v>0</v>
      </c>
    </row>
    <row r="46" spans="2:24" ht="15" customHeight="1" x14ac:dyDescent="0.15">
      <c r="B46" s="13">
        <v>32</v>
      </c>
      <c r="C46" s="127" t="s">
        <v>393</v>
      </c>
      <c r="D46" s="126"/>
      <c r="E46" s="125" t="s">
        <v>377</v>
      </c>
      <c r="F46" s="132">
        <v>0.3</v>
      </c>
      <c r="G46" s="254" t="s">
        <v>323</v>
      </c>
      <c r="H46" s="253">
        <v>0</v>
      </c>
      <c r="I46" s="320" t="s">
        <v>323</v>
      </c>
      <c r="J46" s="253">
        <v>0</v>
      </c>
      <c r="K46" s="320" t="s">
        <v>323</v>
      </c>
      <c r="L46" s="348">
        <v>0</v>
      </c>
      <c r="M46" s="2"/>
      <c r="N46" s="19">
        <v>90</v>
      </c>
      <c r="O46" s="127" t="s">
        <v>390</v>
      </c>
      <c r="P46" s="126"/>
      <c r="Q46" s="125" t="s">
        <v>377</v>
      </c>
      <c r="R46" s="124">
        <v>0.09</v>
      </c>
      <c r="S46" s="254" t="s">
        <v>477</v>
      </c>
      <c r="T46" s="253">
        <v>0</v>
      </c>
      <c r="U46" s="320" t="s">
        <v>477</v>
      </c>
      <c r="V46" s="325">
        <v>0</v>
      </c>
      <c r="W46" s="320" t="s">
        <v>477</v>
      </c>
      <c r="X46" s="348">
        <v>0</v>
      </c>
    </row>
    <row r="47" spans="2:24" ht="15" customHeight="1" x14ac:dyDescent="0.15">
      <c r="B47" s="13">
        <v>33</v>
      </c>
      <c r="C47" s="127" t="s">
        <v>391</v>
      </c>
      <c r="D47" s="126"/>
      <c r="E47" s="125" t="s">
        <v>330</v>
      </c>
      <c r="F47" s="132">
        <v>0.03</v>
      </c>
      <c r="G47" s="254" t="s">
        <v>304</v>
      </c>
      <c r="H47" s="253">
        <v>0</v>
      </c>
      <c r="I47" s="320" t="s">
        <v>304</v>
      </c>
      <c r="J47" s="253">
        <v>0</v>
      </c>
      <c r="K47" s="320" t="s">
        <v>304</v>
      </c>
      <c r="L47" s="348">
        <v>0</v>
      </c>
      <c r="M47" s="2"/>
      <c r="N47" s="19">
        <v>91</v>
      </c>
      <c r="O47" s="127" t="s">
        <v>388</v>
      </c>
      <c r="P47" s="126"/>
      <c r="Q47" s="125" t="s">
        <v>338</v>
      </c>
      <c r="R47" s="124">
        <v>7.0000000000000001E-3</v>
      </c>
      <c r="S47" s="254" t="s">
        <v>490</v>
      </c>
      <c r="T47" s="253">
        <v>0</v>
      </c>
      <c r="U47" s="320" t="s">
        <v>489</v>
      </c>
      <c r="V47" s="325">
        <v>0</v>
      </c>
      <c r="W47" s="320" t="s">
        <v>489</v>
      </c>
      <c r="X47" s="348">
        <v>0</v>
      </c>
    </row>
    <row r="48" spans="2:24" ht="15" customHeight="1" x14ac:dyDescent="0.15">
      <c r="B48" s="13">
        <v>34</v>
      </c>
      <c r="C48" s="127" t="s">
        <v>389</v>
      </c>
      <c r="D48" s="126"/>
      <c r="E48" s="125" t="s">
        <v>330</v>
      </c>
      <c r="F48" s="132">
        <v>2</v>
      </c>
      <c r="G48" s="254" t="s">
        <v>483</v>
      </c>
      <c r="H48" s="253">
        <v>0</v>
      </c>
      <c r="I48" s="320" t="s">
        <v>314</v>
      </c>
      <c r="J48" s="253">
        <v>0</v>
      </c>
      <c r="K48" s="320" t="s">
        <v>314</v>
      </c>
      <c r="L48" s="348">
        <v>0</v>
      </c>
      <c r="M48" s="2"/>
      <c r="N48" s="19">
        <v>92</v>
      </c>
      <c r="O48" s="127" t="s">
        <v>386</v>
      </c>
      <c r="P48" s="126"/>
      <c r="Q48" s="125" t="s">
        <v>377</v>
      </c>
      <c r="R48" s="124">
        <v>0.05</v>
      </c>
      <c r="S48" s="254" t="s">
        <v>316</v>
      </c>
      <c r="T48" s="253">
        <v>0</v>
      </c>
      <c r="U48" s="320" t="s">
        <v>316</v>
      </c>
      <c r="V48" s="325">
        <v>0</v>
      </c>
      <c r="W48" s="320" t="s">
        <v>316</v>
      </c>
      <c r="X48" s="348">
        <v>0</v>
      </c>
    </row>
    <row r="49" spans="2:24" ht="30" customHeight="1" x14ac:dyDescent="0.15">
      <c r="B49" s="13">
        <v>35</v>
      </c>
      <c r="C49" s="127" t="s">
        <v>387</v>
      </c>
      <c r="D49" s="126"/>
      <c r="E49" s="135" t="s">
        <v>366</v>
      </c>
      <c r="F49" s="132">
        <v>0.02</v>
      </c>
      <c r="G49" s="254" t="s">
        <v>311</v>
      </c>
      <c r="H49" s="253">
        <v>0</v>
      </c>
      <c r="I49" s="320" t="s">
        <v>311</v>
      </c>
      <c r="J49" s="253">
        <v>0</v>
      </c>
      <c r="K49" s="320" t="s">
        <v>311</v>
      </c>
      <c r="L49" s="348">
        <v>0</v>
      </c>
      <c r="M49" s="2"/>
      <c r="N49" s="19">
        <v>93</v>
      </c>
      <c r="O49" s="127" t="s">
        <v>384</v>
      </c>
      <c r="P49" s="126"/>
      <c r="Q49" s="125" t="s">
        <v>330</v>
      </c>
      <c r="R49" s="124">
        <v>0.05</v>
      </c>
      <c r="S49" s="254" t="s">
        <v>316</v>
      </c>
      <c r="T49" s="253">
        <v>0</v>
      </c>
      <c r="U49" s="320" t="s">
        <v>316</v>
      </c>
      <c r="V49" s="325">
        <v>0</v>
      </c>
      <c r="W49" s="320" t="s">
        <v>316</v>
      </c>
      <c r="X49" s="348">
        <v>0</v>
      </c>
    </row>
    <row r="50" spans="2:24" ht="15" customHeight="1" x14ac:dyDescent="0.15">
      <c r="B50" s="13">
        <v>36</v>
      </c>
      <c r="C50" s="127" t="s">
        <v>385</v>
      </c>
      <c r="D50" s="126"/>
      <c r="E50" s="125" t="s">
        <v>330</v>
      </c>
      <c r="F50" s="132">
        <v>0.02</v>
      </c>
      <c r="G50" s="254" t="s">
        <v>311</v>
      </c>
      <c r="H50" s="253">
        <v>0</v>
      </c>
      <c r="I50" s="320" t="s">
        <v>311</v>
      </c>
      <c r="J50" s="253">
        <v>0</v>
      </c>
      <c r="K50" s="320" t="s">
        <v>311</v>
      </c>
      <c r="L50" s="348">
        <v>0</v>
      </c>
      <c r="M50" s="2"/>
      <c r="N50" s="19">
        <v>94</v>
      </c>
      <c r="O50" s="127" t="s">
        <v>382</v>
      </c>
      <c r="P50" s="126"/>
      <c r="Q50" s="125" t="s">
        <v>332</v>
      </c>
      <c r="R50" s="124">
        <v>0.03</v>
      </c>
      <c r="S50" s="254" t="s">
        <v>304</v>
      </c>
      <c r="T50" s="253">
        <v>0</v>
      </c>
      <c r="U50" s="320" t="s">
        <v>304</v>
      </c>
      <c r="V50" s="325">
        <v>0</v>
      </c>
      <c r="W50" s="320" t="s">
        <v>304</v>
      </c>
      <c r="X50" s="348">
        <v>0</v>
      </c>
    </row>
    <row r="51" spans="2:24" ht="21.75" customHeight="1" x14ac:dyDescent="0.15">
      <c r="B51" s="13">
        <v>37</v>
      </c>
      <c r="C51" s="127" t="s">
        <v>383</v>
      </c>
      <c r="D51" s="126"/>
      <c r="E51" s="125" t="s">
        <v>330</v>
      </c>
      <c r="F51" s="132">
        <v>1E-4</v>
      </c>
      <c r="G51" s="254" t="s">
        <v>315</v>
      </c>
      <c r="H51" s="253">
        <v>0</v>
      </c>
      <c r="I51" s="320" t="s">
        <v>315</v>
      </c>
      <c r="J51" s="253">
        <v>0</v>
      </c>
      <c r="K51" s="320" t="s">
        <v>315</v>
      </c>
      <c r="L51" s="348">
        <v>0</v>
      </c>
      <c r="M51" s="2"/>
      <c r="N51" s="19">
        <v>95</v>
      </c>
      <c r="O51" s="127" t="s">
        <v>380</v>
      </c>
      <c r="P51" s="126"/>
      <c r="Q51" s="125" t="s">
        <v>379</v>
      </c>
      <c r="R51" s="124">
        <v>0.1</v>
      </c>
      <c r="S51" s="254" t="s">
        <v>306</v>
      </c>
      <c r="T51" s="253">
        <v>0</v>
      </c>
      <c r="U51" s="320" t="s">
        <v>306</v>
      </c>
      <c r="V51" s="325">
        <v>0</v>
      </c>
      <c r="W51" s="320" t="s">
        <v>306</v>
      </c>
      <c r="X51" s="348">
        <v>0</v>
      </c>
    </row>
    <row r="52" spans="2:24" ht="15" customHeight="1" x14ac:dyDescent="0.15">
      <c r="B52" s="13">
        <v>38</v>
      </c>
      <c r="C52" s="127" t="s">
        <v>381</v>
      </c>
      <c r="D52" s="126"/>
      <c r="E52" s="135" t="s">
        <v>338</v>
      </c>
      <c r="F52" s="132">
        <v>3.0000000000000001E-3</v>
      </c>
      <c r="G52" s="254" t="s">
        <v>475</v>
      </c>
      <c r="H52" s="253">
        <v>0</v>
      </c>
      <c r="I52" s="320" t="s">
        <v>475</v>
      </c>
      <c r="J52" s="253">
        <v>0</v>
      </c>
      <c r="K52" s="320" t="s">
        <v>475</v>
      </c>
      <c r="L52" s="348">
        <v>0</v>
      </c>
      <c r="M52" s="2"/>
      <c r="N52" s="19">
        <v>96</v>
      </c>
      <c r="O52" s="127" t="s">
        <v>378</v>
      </c>
      <c r="P52" s="126"/>
      <c r="Q52" s="125" t="s">
        <v>377</v>
      </c>
      <c r="R52" s="124">
        <v>0.02</v>
      </c>
      <c r="S52" s="254" t="s">
        <v>311</v>
      </c>
      <c r="T52" s="253">
        <v>0</v>
      </c>
      <c r="U52" s="320" t="s">
        <v>311</v>
      </c>
      <c r="V52" s="325">
        <v>0</v>
      </c>
      <c r="W52" s="320" t="s">
        <v>311</v>
      </c>
      <c r="X52" s="348">
        <v>0</v>
      </c>
    </row>
    <row r="53" spans="2:24" ht="15" customHeight="1" x14ac:dyDescent="0.15">
      <c r="B53" s="13">
        <v>39</v>
      </c>
      <c r="C53" s="127" t="s">
        <v>465</v>
      </c>
      <c r="D53" s="126"/>
      <c r="E53" s="125" t="s">
        <v>332</v>
      </c>
      <c r="F53" s="132">
        <v>0.05</v>
      </c>
      <c r="G53" s="254" t="s">
        <v>316</v>
      </c>
      <c r="H53" s="253">
        <v>0</v>
      </c>
      <c r="I53" s="320" t="s">
        <v>316</v>
      </c>
      <c r="J53" s="253">
        <v>0</v>
      </c>
      <c r="K53" s="320" t="s">
        <v>316</v>
      </c>
      <c r="L53" s="348">
        <v>0</v>
      </c>
      <c r="M53" s="2"/>
      <c r="N53" s="19">
        <v>97</v>
      </c>
      <c r="O53" s="127" t="s">
        <v>375</v>
      </c>
      <c r="P53" s="126"/>
      <c r="Q53" s="125" t="s">
        <v>332</v>
      </c>
      <c r="R53" s="124">
        <v>0.1</v>
      </c>
      <c r="S53" s="254" t="s">
        <v>306</v>
      </c>
      <c r="T53" s="253">
        <v>0</v>
      </c>
      <c r="U53" s="320" t="s">
        <v>306</v>
      </c>
      <c r="V53" s="325">
        <v>0</v>
      </c>
      <c r="W53" s="320" t="s">
        <v>306</v>
      </c>
      <c r="X53" s="348">
        <v>0</v>
      </c>
    </row>
    <row r="54" spans="2:24" ht="15" customHeight="1" x14ac:dyDescent="0.15">
      <c r="B54" s="13">
        <v>40</v>
      </c>
      <c r="C54" s="127" t="s">
        <v>376</v>
      </c>
      <c r="D54" s="126"/>
      <c r="E54" s="125" t="s">
        <v>330</v>
      </c>
      <c r="F54" s="132">
        <v>1E-3</v>
      </c>
      <c r="G54" s="254" t="s">
        <v>476</v>
      </c>
      <c r="H54" s="253">
        <v>0</v>
      </c>
      <c r="I54" s="320" t="s">
        <v>476</v>
      </c>
      <c r="J54" s="253">
        <v>0</v>
      </c>
      <c r="K54" s="320" t="s">
        <v>476</v>
      </c>
      <c r="L54" s="348">
        <v>0</v>
      </c>
      <c r="M54" s="2"/>
      <c r="N54" s="19">
        <v>98</v>
      </c>
      <c r="O54" s="127" t="s">
        <v>373</v>
      </c>
      <c r="P54" s="126"/>
      <c r="Q54" s="125" t="s">
        <v>330</v>
      </c>
      <c r="R54" s="124">
        <v>0.09</v>
      </c>
      <c r="S54" s="254" t="s">
        <v>477</v>
      </c>
      <c r="T54" s="253">
        <v>0</v>
      </c>
      <c r="U54" s="320" t="s">
        <v>477</v>
      </c>
      <c r="V54" s="325">
        <v>0</v>
      </c>
      <c r="W54" s="320" t="s">
        <v>477</v>
      </c>
      <c r="X54" s="348">
        <v>0</v>
      </c>
    </row>
    <row r="55" spans="2:24" ht="15" customHeight="1" x14ac:dyDescent="0.15">
      <c r="B55" s="13">
        <v>41</v>
      </c>
      <c r="C55" s="127" t="s">
        <v>374</v>
      </c>
      <c r="D55" s="126"/>
      <c r="E55" s="125" t="s">
        <v>338</v>
      </c>
      <c r="F55" s="132">
        <v>3.0000000000000001E-3</v>
      </c>
      <c r="G55" s="254" t="s">
        <v>475</v>
      </c>
      <c r="H55" s="253">
        <v>0</v>
      </c>
      <c r="I55" s="320" t="s">
        <v>475</v>
      </c>
      <c r="J55" s="253">
        <v>0</v>
      </c>
      <c r="K55" s="320" t="s">
        <v>475</v>
      </c>
      <c r="L55" s="348">
        <v>0</v>
      </c>
      <c r="M55" s="2"/>
      <c r="N55" s="19">
        <v>99</v>
      </c>
      <c r="O55" s="127" t="s">
        <v>371</v>
      </c>
      <c r="P55" s="126"/>
      <c r="Q55" s="125" t="s">
        <v>330</v>
      </c>
      <c r="R55" s="124">
        <v>5.0000000000000001E-3</v>
      </c>
      <c r="S55" s="254" t="s">
        <v>305</v>
      </c>
      <c r="T55" s="253">
        <v>0</v>
      </c>
      <c r="U55" s="320" t="s">
        <v>305</v>
      </c>
      <c r="V55" s="325">
        <v>0</v>
      </c>
      <c r="W55" s="320" t="s">
        <v>305</v>
      </c>
      <c r="X55" s="348">
        <v>0</v>
      </c>
    </row>
    <row r="56" spans="2:24" ht="15" customHeight="1" x14ac:dyDescent="0.15">
      <c r="B56" s="13">
        <v>42</v>
      </c>
      <c r="C56" s="127" t="s">
        <v>372</v>
      </c>
      <c r="D56" s="126"/>
      <c r="E56" s="125" t="s">
        <v>330</v>
      </c>
      <c r="F56" s="132">
        <v>0.02</v>
      </c>
      <c r="G56" s="254" t="s">
        <v>311</v>
      </c>
      <c r="H56" s="253">
        <v>0</v>
      </c>
      <c r="I56" s="320" t="s">
        <v>311</v>
      </c>
      <c r="J56" s="253">
        <v>0</v>
      </c>
      <c r="K56" s="320" t="s">
        <v>311</v>
      </c>
      <c r="L56" s="348">
        <v>0</v>
      </c>
      <c r="M56" s="2"/>
      <c r="N56" s="19">
        <v>100</v>
      </c>
      <c r="O56" s="127" t="s">
        <v>369</v>
      </c>
      <c r="P56" s="126"/>
      <c r="Q56" s="125" t="s">
        <v>330</v>
      </c>
      <c r="R56" s="124">
        <v>0.2</v>
      </c>
      <c r="S56" s="254" t="s">
        <v>307</v>
      </c>
      <c r="T56" s="253">
        <v>0</v>
      </c>
      <c r="U56" s="320" t="s">
        <v>307</v>
      </c>
      <c r="V56" s="325">
        <v>0</v>
      </c>
      <c r="W56" s="320" t="s">
        <v>307</v>
      </c>
      <c r="X56" s="348">
        <v>0</v>
      </c>
    </row>
    <row r="57" spans="2:24" ht="26.25" customHeight="1" x14ac:dyDescent="0.15">
      <c r="B57" s="13">
        <v>43</v>
      </c>
      <c r="C57" s="127" t="s">
        <v>370</v>
      </c>
      <c r="D57" s="126"/>
      <c r="E57" s="125" t="s">
        <v>330</v>
      </c>
      <c r="F57" s="132">
        <v>0.03</v>
      </c>
      <c r="G57" s="254" t="s">
        <v>304</v>
      </c>
      <c r="H57" s="253">
        <v>0</v>
      </c>
      <c r="I57" s="320" t="s">
        <v>304</v>
      </c>
      <c r="J57" s="253">
        <v>0</v>
      </c>
      <c r="K57" s="320" t="s">
        <v>304</v>
      </c>
      <c r="L57" s="348">
        <v>0</v>
      </c>
      <c r="M57" s="2"/>
      <c r="N57" s="19">
        <v>101</v>
      </c>
      <c r="O57" s="127" t="s">
        <v>367</v>
      </c>
      <c r="P57" s="126"/>
      <c r="Q57" s="135" t="s">
        <v>366</v>
      </c>
      <c r="R57" s="124">
        <v>0.3</v>
      </c>
      <c r="S57" s="254" t="s">
        <v>323</v>
      </c>
      <c r="T57" s="253">
        <v>0</v>
      </c>
      <c r="U57" s="320" t="s">
        <v>323</v>
      </c>
      <c r="V57" s="325">
        <v>0</v>
      </c>
      <c r="W57" s="320" t="s">
        <v>323</v>
      </c>
      <c r="X57" s="348">
        <v>0</v>
      </c>
    </row>
    <row r="58" spans="2:24" ht="15" customHeight="1" x14ac:dyDescent="0.15">
      <c r="B58" s="13">
        <v>44</v>
      </c>
      <c r="C58" s="127" t="s">
        <v>368</v>
      </c>
      <c r="D58" s="126"/>
      <c r="E58" s="125" t="s">
        <v>338</v>
      </c>
      <c r="F58" s="132">
        <v>8.0000000000000002E-3</v>
      </c>
      <c r="G58" s="254" t="s">
        <v>481</v>
      </c>
      <c r="H58" s="253">
        <v>0</v>
      </c>
      <c r="I58" s="320" t="s">
        <v>481</v>
      </c>
      <c r="J58" s="253">
        <v>0</v>
      </c>
      <c r="K58" s="320" t="s">
        <v>481</v>
      </c>
      <c r="L58" s="348">
        <v>0</v>
      </c>
      <c r="M58" s="2"/>
      <c r="N58" s="19">
        <v>102</v>
      </c>
      <c r="O58" s="127" t="s">
        <v>364</v>
      </c>
      <c r="P58" s="126"/>
      <c r="Q58" s="125" t="s">
        <v>332</v>
      </c>
      <c r="R58" s="124">
        <v>0.02</v>
      </c>
      <c r="S58" s="254" t="s">
        <v>493</v>
      </c>
      <c r="T58" s="253">
        <v>0</v>
      </c>
      <c r="U58" s="320" t="s">
        <v>311</v>
      </c>
      <c r="V58" s="325">
        <v>0</v>
      </c>
      <c r="W58" s="320" t="s">
        <v>311</v>
      </c>
      <c r="X58" s="348">
        <v>0</v>
      </c>
    </row>
    <row r="59" spans="2:24" ht="15" customHeight="1" x14ac:dyDescent="0.15">
      <c r="B59" s="13">
        <v>45</v>
      </c>
      <c r="C59" s="127" t="s">
        <v>365</v>
      </c>
      <c r="D59" s="126"/>
      <c r="E59" s="125" t="s">
        <v>330</v>
      </c>
      <c r="F59" s="132">
        <v>0.01</v>
      </c>
      <c r="G59" s="254" t="s">
        <v>484</v>
      </c>
      <c r="H59" s="253">
        <v>0</v>
      </c>
      <c r="I59" s="320" t="s">
        <v>474</v>
      </c>
      <c r="J59" s="253">
        <v>0</v>
      </c>
      <c r="K59" s="320" t="s">
        <v>474</v>
      </c>
      <c r="L59" s="348">
        <v>0</v>
      </c>
      <c r="M59" s="2"/>
      <c r="N59" s="19">
        <v>103</v>
      </c>
      <c r="O59" s="127" t="s">
        <v>362</v>
      </c>
      <c r="P59" s="126"/>
      <c r="Q59" s="125" t="s">
        <v>330</v>
      </c>
      <c r="R59" s="124">
        <v>0.01</v>
      </c>
      <c r="S59" s="254" t="s">
        <v>474</v>
      </c>
      <c r="T59" s="253">
        <v>0</v>
      </c>
      <c r="U59" s="320" t="s">
        <v>474</v>
      </c>
      <c r="V59" s="325">
        <v>0</v>
      </c>
      <c r="W59" s="320" t="s">
        <v>474</v>
      </c>
      <c r="X59" s="348">
        <v>0</v>
      </c>
    </row>
    <row r="60" spans="2:24" ht="15" customHeight="1" x14ac:dyDescent="0.15">
      <c r="B60" s="13">
        <v>46</v>
      </c>
      <c r="C60" s="127" t="s">
        <v>363</v>
      </c>
      <c r="D60" s="126"/>
      <c r="E60" s="125" t="s">
        <v>350</v>
      </c>
      <c r="F60" s="132">
        <v>4.0000000000000001E-3</v>
      </c>
      <c r="G60" s="254" t="s">
        <v>471</v>
      </c>
      <c r="H60" s="253">
        <v>0</v>
      </c>
      <c r="I60" s="320" t="s">
        <v>471</v>
      </c>
      <c r="J60" s="253">
        <v>0</v>
      </c>
      <c r="K60" s="320" t="s">
        <v>471</v>
      </c>
      <c r="L60" s="348">
        <v>0</v>
      </c>
      <c r="M60" s="2"/>
      <c r="N60" s="19">
        <v>104</v>
      </c>
      <c r="O60" s="127" t="s">
        <v>359</v>
      </c>
      <c r="P60" s="126"/>
      <c r="Q60" s="125" t="s">
        <v>330</v>
      </c>
      <c r="R60" s="124">
        <v>7.0000000000000007E-2</v>
      </c>
      <c r="S60" s="254" t="s">
        <v>491</v>
      </c>
      <c r="T60" s="253">
        <v>0</v>
      </c>
      <c r="U60" s="320" t="s">
        <v>491</v>
      </c>
      <c r="V60" s="325">
        <v>0</v>
      </c>
      <c r="W60" s="320" t="s">
        <v>491</v>
      </c>
      <c r="X60" s="348">
        <v>0</v>
      </c>
    </row>
    <row r="61" spans="2:24" ht="30" customHeight="1" x14ac:dyDescent="0.15">
      <c r="B61" s="13">
        <v>47</v>
      </c>
      <c r="C61" s="127" t="s">
        <v>361</v>
      </c>
      <c r="D61" s="126"/>
      <c r="E61" s="125" t="s">
        <v>360</v>
      </c>
      <c r="F61" s="156" t="s">
        <v>507</v>
      </c>
      <c r="G61" s="254" t="s">
        <v>316</v>
      </c>
      <c r="H61" s="253">
        <v>0</v>
      </c>
      <c r="I61" s="320" t="s">
        <v>316</v>
      </c>
      <c r="J61" s="253">
        <v>0</v>
      </c>
      <c r="K61" s="320" t="s">
        <v>316</v>
      </c>
      <c r="L61" s="348">
        <v>0</v>
      </c>
      <c r="M61" s="2"/>
      <c r="N61" s="19">
        <v>105</v>
      </c>
      <c r="O61" s="127" t="s">
        <v>357</v>
      </c>
      <c r="P61" s="126"/>
      <c r="Q61" s="125" t="s">
        <v>346</v>
      </c>
      <c r="R61" s="124">
        <v>5.0000000000000001E-3</v>
      </c>
      <c r="S61" s="254" t="s">
        <v>522</v>
      </c>
      <c r="T61" s="253">
        <v>0</v>
      </c>
      <c r="U61" s="320" t="s">
        <v>305</v>
      </c>
      <c r="V61" s="326">
        <v>0</v>
      </c>
      <c r="W61" s="320" t="s">
        <v>305</v>
      </c>
      <c r="X61" s="349">
        <v>0</v>
      </c>
    </row>
    <row r="62" spans="2:24" ht="15" customHeight="1" x14ac:dyDescent="0.15">
      <c r="B62" s="13">
        <v>48</v>
      </c>
      <c r="C62" s="127" t="s">
        <v>358</v>
      </c>
      <c r="D62" s="126"/>
      <c r="E62" s="125" t="s">
        <v>340</v>
      </c>
      <c r="F62" s="132">
        <v>8.9999999999999993E-3</v>
      </c>
      <c r="G62" s="254" t="s">
        <v>478</v>
      </c>
      <c r="H62" s="253">
        <v>0</v>
      </c>
      <c r="I62" s="320" t="s">
        <v>478</v>
      </c>
      <c r="J62" s="253">
        <v>0</v>
      </c>
      <c r="K62" s="320" t="s">
        <v>478</v>
      </c>
      <c r="L62" s="348">
        <v>0</v>
      </c>
      <c r="M62" s="2"/>
      <c r="N62" s="19">
        <v>106</v>
      </c>
      <c r="O62" s="127" t="s">
        <v>355</v>
      </c>
      <c r="P62" s="126"/>
      <c r="Q62" s="125" t="s">
        <v>346</v>
      </c>
      <c r="R62" s="124">
        <v>0.7</v>
      </c>
      <c r="S62" s="254" t="s">
        <v>492</v>
      </c>
      <c r="T62" s="253">
        <v>0</v>
      </c>
      <c r="U62" s="320" t="s">
        <v>492</v>
      </c>
      <c r="V62" s="325">
        <v>0</v>
      </c>
      <c r="W62" s="320" t="s">
        <v>492</v>
      </c>
      <c r="X62" s="348">
        <v>0</v>
      </c>
    </row>
    <row r="63" spans="2:24" ht="15" customHeight="1" x14ac:dyDescent="0.15">
      <c r="B63" s="13">
        <v>49</v>
      </c>
      <c r="C63" s="127" t="s">
        <v>356</v>
      </c>
      <c r="D63" s="126"/>
      <c r="E63" s="125" t="s">
        <v>340</v>
      </c>
      <c r="F63" s="132">
        <v>6.0000000000000001E-3</v>
      </c>
      <c r="G63" s="254" t="s">
        <v>473</v>
      </c>
      <c r="H63" s="253">
        <v>0</v>
      </c>
      <c r="I63" s="320" t="s">
        <v>473</v>
      </c>
      <c r="J63" s="253">
        <v>0</v>
      </c>
      <c r="K63" s="320" t="s">
        <v>473</v>
      </c>
      <c r="L63" s="348">
        <v>0</v>
      </c>
      <c r="M63" s="2"/>
      <c r="N63" s="19">
        <v>107</v>
      </c>
      <c r="O63" s="127" t="s">
        <v>464</v>
      </c>
      <c r="P63" s="126"/>
      <c r="Q63" s="125" t="s">
        <v>340</v>
      </c>
      <c r="R63" s="124">
        <v>0.05</v>
      </c>
      <c r="S63" s="254" t="s">
        <v>316</v>
      </c>
      <c r="T63" s="253">
        <v>0</v>
      </c>
      <c r="U63" s="320" t="s">
        <v>316</v>
      </c>
      <c r="V63" s="325">
        <v>0</v>
      </c>
      <c r="W63" s="320" t="s">
        <v>316</v>
      </c>
      <c r="X63" s="348">
        <v>0</v>
      </c>
    </row>
    <row r="64" spans="2:24" ht="15" customHeight="1" x14ac:dyDescent="0.15">
      <c r="B64" s="13">
        <v>50</v>
      </c>
      <c r="C64" s="127" t="s">
        <v>354</v>
      </c>
      <c r="D64" s="126"/>
      <c r="E64" s="135" t="s">
        <v>340</v>
      </c>
      <c r="F64" s="132">
        <v>3.0000000000000001E-3</v>
      </c>
      <c r="G64" s="254" t="s">
        <v>475</v>
      </c>
      <c r="H64" s="253">
        <v>0</v>
      </c>
      <c r="I64" s="320" t="s">
        <v>475</v>
      </c>
      <c r="J64" s="253">
        <v>0</v>
      </c>
      <c r="K64" s="320" t="s">
        <v>475</v>
      </c>
      <c r="L64" s="349">
        <v>0</v>
      </c>
      <c r="M64" s="2"/>
      <c r="N64" s="19">
        <v>108</v>
      </c>
      <c r="O64" s="127" t="s">
        <v>352</v>
      </c>
      <c r="P64" s="126"/>
      <c r="Q64" s="125" t="s">
        <v>346</v>
      </c>
      <c r="R64" s="124">
        <v>0.03</v>
      </c>
      <c r="S64" s="254" t="s">
        <v>304</v>
      </c>
      <c r="T64" s="253">
        <v>0</v>
      </c>
      <c r="U64" s="320" t="s">
        <v>304</v>
      </c>
      <c r="V64" s="325">
        <v>0</v>
      </c>
      <c r="W64" s="320" t="s">
        <v>304</v>
      </c>
      <c r="X64" s="348">
        <v>0</v>
      </c>
    </row>
    <row r="65" spans="2:24" ht="15" customHeight="1" x14ac:dyDescent="0.15">
      <c r="B65" s="13">
        <v>51</v>
      </c>
      <c r="C65" s="127" t="s">
        <v>353</v>
      </c>
      <c r="D65" s="126"/>
      <c r="E65" s="125" t="s">
        <v>340</v>
      </c>
      <c r="F65" s="132">
        <v>0.02</v>
      </c>
      <c r="G65" s="254" t="s">
        <v>311</v>
      </c>
      <c r="H65" s="253">
        <v>0</v>
      </c>
      <c r="I65" s="320" t="s">
        <v>311</v>
      </c>
      <c r="J65" s="253">
        <v>0</v>
      </c>
      <c r="K65" s="320" t="s">
        <v>311</v>
      </c>
      <c r="L65" s="348">
        <v>0</v>
      </c>
      <c r="M65" s="2"/>
      <c r="N65" s="19">
        <v>109</v>
      </c>
      <c r="O65" s="127" t="s">
        <v>349</v>
      </c>
      <c r="P65" s="126"/>
      <c r="Q65" s="125" t="s">
        <v>332</v>
      </c>
      <c r="R65" s="124">
        <v>0.2</v>
      </c>
      <c r="S65" s="254" t="s">
        <v>307</v>
      </c>
      <c r="T65" s="253">
        <v>0</v>
      </c>
      <c r="U65" s="320" t="s">
        <v>307</v>
      </c>
      <c r="V65" s="325">
        <v>0</v>
      </c>
      <c r="W65" s="320" t="s">
        <v>307</v>
      </c>
      <c r="X65" s="348">
        <v>0</v>
      </c>
    </row>
    <row r="66" spans="2:24" ht="15" customHeight="1" x14ac:dyDescent="0.15">
      <c r="B66" s="13">
        <v>52</v>
      </c>
      <c r="C66" s="127" t="s">
        <v>351</v>
      </c>
      <c r="D66" s="126"/>
      <c r="E66" s="125" t="s">
        <v>350</v>
      </c>
      <c r="F66" s="132">
        <v>0.05</v>
      </c>
      <c r="G66" s="254" t="s">
        <v>316</v>
      </c>
      <c r="H66" s="253">
        <v>0</v>
      </c>
      <c r="I66" s="320" t="s">
        <v>316</v>
      </c>
      <c r="J66" s="253">
        <v>0</v>
      </c>
      <c r="K66" s="320" t="s">
        <v>316</v>
      </c>
      <c r="L66" s="348">
        <v>0</v>
      </c>
      <c r="M66" s="2"/>
      <c r="N66" s="19">
        <v>110</v>
      </c>
      <c r="O66" s="127" t="s">
        <v>347</v>
      </c>
      <c r="P66" s="126"/>
      <c r="Q66" s="125" t="s">
        <v>346</v>
      </c>
      <c r="R66" s="124">
        <v>4.0000000000000001E-3</v>
      </c>
      <c r="S66" s="254" t="s">
        <v>471</v>
      </c>
      <c r="T66" s="253">
        <v>0</v>
      </c>
      <c r="U66" s="320" t="s">
        <v>471</v>
      </c>
      <c r="V66" s="325">
        <v>0</v>
      </c>
      <c r="W66" s="320" t="s">
        <v>471</v>
      </c>
      <c r="X66" s="348">
        <v>0</v>
      </c>
    </row>
    <row r="67" spans="2:24" ht="15" customHeight="1" x14ac:dyDescent="0.15">
      <c r="B67" s="13">
        <v>53</v>
      </c>
      <c r="C67" s="127" t="s">
        <v>348</v>
      </c>
      <c r="D67" s="126"/>
      <c r="E67" s="125" t="s">
        <v>340</v>
      </c>
      <c r="F67" s="132">
        <v>0.03</v>
      </c>
      <c r="G67" s="254" t="s">
        <v>304</v>
      </c>
      <c r="H67" s="253">
        <v>0</v>
      </c>
      <c r="I67" s="320" t="s">
        <v>304</v>
      </c>
      <c r="J67" s="253">
        <v>0</v>
      </c>
      <c r="K67" s="320" t="s">
        <v>304</v>
      </c>
      <c r="L67" s="348">
        <v>0</v>
      </c>
      <c r="M67" s="2"/>
      <c r="N67" s="19">
        <v>111</v>
      </c>
      <c r="O67" s="127" t="s">
        <v>344</v>
      </c>
      <c r="P67" s="126"/>
      <c r="Q67" s="125" t="s">
        <v>332</v>
      </c>
      <c r="R67" s="124">
        <v>0.04</v>
      </c>
      <c r="S67" s="254" t="s">
        <v>319</v>
      </c>
      <c r="T67" s="253">
        <v>0</v>
      </c>
      <c r="U67" s="320" t="s">
        <v>319</v>
      </c>
      <c r="V67" s="325">
        <v>0</v>
      </c>
      <c r="W67" s="320" t="s">
        <v>319</v>
      </c>
      <c r="X67" s="348">
        <v>0</v>
      </c>
    </row>
    <row r="68" spans="2:24" ht="15" customHeight="1" x14ac:dyDescent="0.15">
      <c r="B68" s="13">
        <v>54</v>
      </c>
      <c r="C68" s="127" t="s">
        <v>345</v>
      </c>
      <c r="D68" s="126"/>
      <c r="E68" s="125" t="s">
        <v>332</v>
      </c>
      <c r="F68" s="132">
        <v>3.0000000000000001E-3</v>
      </c>
      <c r="G68" s="254" t="s">
        <v>475</v>
      </c>
      <c r="H68" s="253">
        <v>0</v>
      </c>
      <c r="I68" s="320" t="s">
        <v>475</v>
      </c>
      <c r="J68" s="253">
        <v>0</v>
      </c>
      <c r="K68" s="320" t="s">
        <v>475</v>
      </c>
      <c r="L68" s="348">
        <v>0</v>
      </c>
      <c r="M68" s="2"/>
      <c r="N68" s="19">
        <v>112</v>
      </c>
      <c r="O68" s="127" t="s">
        <v>341</v>
      </c>
      <c r="P68" s="126"/>
      <c r="Q68" s="125" t="s">
        <v>340</v>
      </c>
      <c r="R68" s="124">
        <v>0.03</v>
      </c>
      <c r="S68" s="254" t="s">
        <v>304</v>
      </c>
      <c r="T68" s="253">
        <v>0</v>
      </c>
      <c r="U68" s="320" t="s">
        <v>304</v>
      </c>
      <c r="V68" s="325">
        <v>0</v>
      </c>
      <c r="W68" s="320" t="s">
        <v>304</v>
      </c>
      <c r="X68" s="348">
        <v>0</v>
      </c>
    </row>
    <row r="69" spans="2:24" ht="30" customHeight="1" x14ac:dyDescent="0.15">
      <c r="B69" s="13">
        <v>55</v>
      </c>
      <c r="C69" s="127" t="s">
        <v>343</v>
      </c>
      <c r="D69" s="126"/>
      <c r="E69" s="135" t="s">
        <v>342</v>
      </c>
      <c r="F69" s="132">
        <v>0.8</v>
      </c>
      <c r="G69" s="254" t="s">
        <v>321</v>
      </c>
      <c r="H69" s="253">
        <v>0</v>
      </c>
      <c r="I69" s="320" t="s">
        <v>321</v>
      </c>
      <c r="J69" s="253">
        <v>0</v>
      </c>
      <c r="K69" s="320" t="s">
        <v>321</v>
      </c>
      <c r="L69" s="348">
        <v>0</v>
      </c>
      <c r="M69" s="2"/>
      <c r="N69" s="19">
        <v>113</v>
      </c>
      <c r="O69" s="127" t="s">
        <v>336</v>
      </c>
      <c r="P69" s="126"/>
      <c r="Q69" s="125" t="s">
        <v>330</v>
      </c>
      <c r="R69" s="124">
        <v>0.02</v>
      </c>
      <c r="S69" s="254" t="s">
        <v>311</v>
      </c>
      <c r="T69" s="253">
        <v>0</v>
      </c>
      <c r="U69" s="320" t="s">
        <v>311</v>
      </c>
      <c r="V69" s="325">
        <v>0</v>
      </c>
      <c r="W69" s="320" t="s">
        <v>311</v>
      </c>
      <c r="X69" s="348">
        <v>0</v>
      </c>
    </row>
    <row r="70" spans="2:24" ht="30" customHeight="1" x14ac:dyDescent="0.15">
      <c r="B70" s="13">
        <v>56</v>
      </c>
      <c r="C70" s="740" t="s">
        <v>339</v>
      </c>
      <c r="D70" s="741"/>
      <c r="E70" s="134" t="s">
        <v>377</v>
      </c>
      <c r="F70" s="133" t="s">
        <v>337</v>
      </c>
      <c r="G70" s="256" t="s">
        <v>474</v>
      </c>
      <c r="H70" s="257">
        <v>0</v>
      </c>
      <c r="I70" s="322" t="s">
        <v>474</v>
      </c>
      <c r="J70" s="257">
        <v>0</v>
      </c>
      <c r="K70" s="322" t="s">
        <v>474</v>
      </c>
      <c r="L70" s="348">
        <v>0</v>
      </c>
      <c r="M70" s="2"/>
      <c r="N70" s="19">
        <v>114</v>
      </c>
      <c r="O70" s="127" t="s">
        <v>334</v>
      </c>
      <c r="P70" s="126"/>
      <c r="Q70" s="125" t="s">
        <v>332</v>
      </c>
      <c r="R70" s="124">
        <v>0.1</v>
      </c>
      <c r="S70" s="254" t="s">
        <v>306</v>
      </c>
      <c r="T70" s="258">
        <v>0</v>
      </c>
      <c r="U70" s="320" t="s">
        <v>306</v>
      </c>
      <c r="V70" s="325">
        <v>0</v>
      </c>
      <c r="W70" s="320" t="s">
        <v>306</v>
      </c>
      <c r="X70" s="348">
        <v>0</v>
      </c>
    </row>
    <row r="71" spans="2:24" ht="15" customHeight="1" thickBot="1" x14ac:dyDescent="0.2">
      <c r="B71" s="13">
        <v>57</v>
      </c>
      <c r="C71" s="127" t="s">
        <v>335</v>
      </c>
      <c r="D71" s="126"/>
      <c r="E71" s="125" t="s">
        <v>332</v>
      </c>
      <c r="F71" s="132">
        <v>0.1</v>
      </c>
      <c r="G71" s="254" t="s">
        <v>306</v>
      </c>
      <c r="H71" s="258">
        <v>0</v>
      </c>
      <c r="I71" s="320" t="s">
        <v>306</v>
      </c>
      <c r="J71" s="323">
        <v>0</v>
      </c>
      <c r="K71" s="320" t="s">
        <v>306</v>
      </c>
      <c r="L71" s="348">
        <v>0</v>
      </c>
      <c r="M71" s="2"/>
      <c r="N71" s="110">
        <v>115</v>
      </c>
      <c r="O71" s="127" t="s">
        <v>331</v>
      </c>
      <c r="P71" s="126"/>
      <c r="Q71" s="125" t="s">
        <v>330</v>
      </c>
      <c r="R71" s="124">
        <v>5.0000000000000001E-3</v>
      </c>
      <c r="S71" s="254" t="s">
        <v>305</v>
      </c>
      <c r="T71" s="253">
        <v>0</v>
      </c>
      <c r="U71" s="324" t="s">
        <v>305</v>
      </c>
      <c r="V71" s="325">
        <v>0</v>
      </c>
      <c r="W71" s="324" t="s">
        <v>305</v>
      </c>
      <c r="X71" s="348">
        <v>0</v>
      </c>
    </row>
    <row r="72" spans="2:24" ht="15" customHeight="1" thickBot="1" x14ac:dyDescent="0.2">
      <c r="B72" s="110">
        <v>58</v>
      </c>
      <c r="C72" s="131" t="s">
        <v>333</v>
      </c>
      <c r="D72" s="130"/>
      <c r="E72" s="129" t="s">
        <v>332</v>
      </c>
      <c r="F72" s="128">
        <v>0.02</v>
      </c>
      <c r="G72" s="259" t="s">
        <v>311</v>
      </c>
      <c r="H72" s="260">
        <v>0</v>
      </c>
      <c r="I72" s="324" t="s">
        <v>311</v>
      </c>
      <c r="J72" s="260">
        <v>0</v>
      </c>
      <c r="K72" s="324" t="s">
        <v>311</v>
      </c>
      <c r="L72" s="350">
        <v>0</v>
      </c>
      <c r="M72" s="2"/>
      <c r="N72" s="123"/>
      <c r="O72" s="742" t="s">
        <v>329</v>
      </c>
      <c r="P72" s="743"/>
      <c r="Q72" s="122"/>
      <c r="R72" s="121">
        <v>1</v>
      </c>
      <c r="S72" s="274"/>
      <c r="T72" s="262">
        <v>0</v>
      </c>
      <c r="U72" s="327"/>
      <c r="V72" s="328">
        <v>0</v>
      </c>
      <c r="W72" s="351"/>
      <c r="X72" s="262">
        <v>0</v>
      </c>
    </row>
    <row r="73" spans="2:24" ht="15" customHeight="1" thickBot="1" x14ac:dyDescent="0.2">
      <c r="C73" s="117"/>
      <c r="E73" s="4"/>
      <c r="F73" s="4"/>
      <c r="G73" s="4"/>
      <c r="H73" s="4"/>
      <c r="I73" s="4"/>
      <c r="J73" s="4"/>
      <c r="K73" s="119"/>
      <c r="L73" s="119"/>
      <c r="M73" s="2"/>
      <c r="N73" s="733" t="s">
        <v>81</v>
      </c>
      <c r="O73" s="734"/>
      <c r="P73" s="734"/>
      <c r="Q73" s="734"/>
      <c r="R73" s="735"/>
      <c r="S73" s="736" t="s">
        <v>196</v>
      </c>
      <c r="T73" s="734"/>
      <c r="U73" s="723" t="s">
        <v>196</v>
      </c>
      <c r="V73" s="737"/>
      <c r="W73" s="723" t="s">
        <v>196</v>
      </c>
      <c r="X73" s="765"/>
    </row>
    <row r="74" spans="2:24" ht="15" customHeight="1" x14ac:dyDescent="0.15">
      <c r="C74" s="1" t="s">
        <v>495</v>
      </c>
      <c r="E74" s="4"/>
      <c r="F74" s="4"/>
      <c r="G74" s="4"/>
      <c r="H74" s="4"/>
      <c r="I74" s="4"/>
      <c r="J74" s="4"/>
      <c r="K74" s="119"/>
      <c r="L74" s="119"/>
      <c r="M74" s="2"/>
      <c r="O74" s="602"/>
      <c r="P74" s="602"/>
      <c r="Q74" s="4"/>
      <c r="R74" s="4"/>
      <c r="S74" s="119"/>
      <c r="T74" s="119"/>
    </row>
    <row r="75" spans="2:24" s="50" customFormat="1" ht="15" customHeight="1" x14ac:dyDescent="0.15">
      <c r="B75" s="3"/>
      <c r="C75" s="3"/>
      <c r="D75" s="3"/>
      <c r="E75" s="4"/>
      <c r="F75" s="4"/>
      <c r="G75" s="4"/>
      <c r="H75" s="4"/>
      <c r="I75" s="4"/>
      <c r="J75" s="4"/>
      <c r="K75" s="116"/>
      <c r="L75" s="116"/>
      <c r="M75" s="118"/>
      <c r="N75" s="3"/>
      <c r="O75" s="602"/>
      <c r="P75" s="602"/>
      <c r="Q75" s="4"/>
      <c r="R75" s="4"/>
      <c r="S75" s="116"/>
      <c r="T75" s="116"/>
    </row>
    <row r="76" spans="2:24" ht="12.95" customHeight="1" x14ac:dyDescent="0.15"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2"/>
      <c r="N76" s="732"/>
      <c r="O76" s="732"/>
      <c r="P76" s="732"/>
      <c r="Q76" s="732"/>
      <c r="R76" s="732"/>
      <c r="S76" s="732"/>
      <c r="T76" s="732"/>
    </row>
    <row r="77" spans="2:24" ht="12.95" customHeight="1" x14ac:dyDescent="0.15">
      <c r="B77" s="117"/>
      <c r="E77" s="1"/>
      <c r="F77" s="116"/>
      <c r="G77" s="116"/>
      <c r="H77" s="116"/>
      <c r="I77" s="116"/>
      <c r="J77" s="116"/>
      <c r="K77" s="4"/>
      <c r="L77" s="4"/>
      <c r="M77" s="2"/>
      <c r="N77" s="117"/>
      <c r="Q77" s="1"/>
      <c r="R77" s="116"/>
      <c r="S77" s="4"/>
      <c r="T77" s="4"/>
    </row>
    <row r="78" spans="2:24" ht="12.95" customHeight="1" x14ac:dyDescent="0.15">
      <c r="B78" s="1"/>
      <c r="E78" s="1"/>
      <c r="F78" s="116"/>
      <c r="G78" s="116"/>
      <c r="H78" s="116"/>
      <c r="I78" s="116"/>
      <c r="J78" s="116"/>
      <c r="K78" s="4"/>
      <c r="L78" s="4"/>
      <c r="M78" s="2"/>
      <c r="N78" s="1"/>
      <c r="Q78" s="1"/>
      <c r="R78" s="116"/>
      <c r="S78" s="4"/>
      <c r="T78" s="4"/>
    </row>
    <row r="79" spans="2:24" ht="12.95" customHeight="1" x14ac:dyDescent="0.15">
      <c r="E79" s="1"/>
      <c r="F79" s="116"/>
      <c r="G79" s="116"/>
      <c r="H79" s="116"/>
      <c r="I79" s="116"/>
      <c r="J79" s="116"/>
      <c r="M79" s="2"/>
    </row>
    <row r="80" spans="2:24" ht="12.95" customHeight="1" x14ac:dyDescent="0.15">
      <c r="E80" s="1"/>
      <c r="F80" s="116"/>
      <c r="G80" s="116"/>
      <c r="H80" s="116"/>
      <c r="I80" s="116"/>
      <c r="J80" s="116"/>
      <c r="M80" s="2"/>
    </row>
    <row r="81" spans="2:13" ht="12.95" customHeight="1" x14ac:dyDescent="0.15">
      <c r="E81" s="1"/>
      <c r="F81" s="116"/>
      <c r="G81" s="116"/>
      <c r="H81" s="116"/>
      <c r="I81" s="116"/>
      <c r="J81" s="116"/>
      <c r="M81" s="2"/>
    </row>
    <row r="82" spans="2:13" ht="15" customHeight="1" x14ac:dyDescent="0.15">
      <c r="E82" s="1"/>
      <c r="F82" s="116"/>
      <c r="G82" s="116"/>
      <c r="H82" s="116"/>
      <c r="I82" s="116"/>
      <c r="J82" s="116"/>
      <c r="M82" s="2"/>
    </row>
    <row r="83" spans="2:13" ht="10.5" customHeight="1" x14ac:dyDescent="0.15">
      <c r="B83" s="50"/>
      <c r="C83" s="50"/>
      <c r="D83" s="50"/>
      <c r="E83" s="50"/>
      <c r="F83" s="50"/>
      <c r="G83" s="50"/>
      <c r="H83" s="50"/>
      <c r="I83" s="50"/>
      <c r="J83" s="50"/>
      <c r="K83" s="115"/>
      <c r="L83" s="115"/>
      <c r="M83" s="4"/>
    </row>
    <row r="84" spans="2:13" ht="10.5" customHeight="1" x14ac:dyDescent="0.15">
      <c r="C84" s="1"/>
      <c r="D84" s="1"/>
      <c r="E84" s="1"/>
      <c r="F84" s="1"/>
      <c r="G84" s="1"/>
      <c r="H84" s="1"/>
      <c r="I84" s="1"/>
      <c r="J84" s="1"/>
      <c r="K84" s="4"/>
      <c r="L84" s="4"/>
    </row>
    <row r="85" spans="2:13" ht="10.5" customHeight="1" x14ac:dyDescent="0.15"/>
  </sheetData>
  <mergeCells count="84">
    <mergeCell ref="C70:D70"/>
    <mergeCell ref="W13:X13"/>
    <mergeCell ref="C14:D14"/>
    <mergeCell ref="O14:P14"/>
    <mergeCell ref="O72:P72"/>
    <mergeCell ref="B13:D13"/>
    <mergeCell ref="E13:E14"/>
    <mergeCell ref="G13:H13"/>
    <mergeCell ref="I13:J13"/>
    <mergeCell ref="K13:L13"/>
    <mergeCell ref="U13:V13"/>
    <mergeCell ref="N76:R76"/>
    <mergeCell ref="S76:T76"/>
    <mergeCell ref="N73:R73"/>
    <mergeCell ref="S73:T73"/>
    <mergeCell ref="U73:V73"/>
    <mergeCell ref="W73:X73"/>
    <mergeCell ref="O74:P74"/>
    <mergeCell ref="O75:P75"/>
    <mergeCell ref="N13:P13"/>
    <mergeCell ref="Q13:Q14"/>
    <mergeCell ref="S13:T13"/>
    <mergeCell ref="K12:L12"/>
    <mergeCell ref="P12:R12"/>
    <mergeCell ref="U11:V11"/>
    <mergeCell ref="W11:X11"/>
    <mergeCell ref="G10:H10"/>
    <mergeCell ref="U12:V12"/>
    <mergeCell ref="I10:J10"/>
    <mergeCell ref="K10:L10"/>
    <mergeCell ref="P10:R10"/>
    <mergeCell ref="S12:T12"/>
    <mergeCell ref="S11:T11"/>
    <mergeCell ref="S10:T10"/>
    <mergeCell ref="U10:V10"/>
    <mergeCell ref="W12:X12"/>
    <mergeCell ref="P11:R11"/>
    <mergeCell ref="W8:X8"/>
    <mergeCell ref="U9:V9"/>
    <mergeCell ref="W9:X9"/>
    <mergeCell ref="W10:X10"/>
    <mergeCell ref="U8:V8"/>
    <mergeCell ref="S9:T9"/>
    <mergeCell ref="N6:O12"/>
    <mergeCell ref="P6:R6"/>
    <mergeCell ref="S6:T6"/>
    <mergeCell ref="D8:F8"/>
    <mergeCell ref="G8:H8"/>
    <mergeCell ref="I8:J8"/>
    <mergeCell ref="K8:L8"/>
    <mergeCell ref="P8:R8"/>
    <mergeCell ref="S8:T8"/>
    <mergeCell ref="D9:F9"/>
    <mergeCell ref="G9:H9"/>
    <mergeCell ref="I9:J9"/>
    <mergeCell ref="K9:L9"/>
    <mergeCell ref="P9:R9"/>
    <mergeCell ref="D11:F11"/>
    <mergeCell ref="U6:V6"/>
    <mergeCell ref="W6:X6"/>
    <mergeCell ref="D7:F7"/>
    <mergeCell ref="G7:H7"/>
    <mergeCell ref="I7:J7"/>
    <mergeCell ref="P7:R7"/>
    <mergeCell ref="S7:T7"/>
    <mergeCell ref="U7:V7"/>
    <mergeCell ref="W7:X7"/>
    <mergeCell ref="K7:L7"/>
    <mergeCell ref="B1:L1"/>
    <mergeCell ref="G3:L3"/>
    <mergeCell ref="B4:C4"/>
    <mergeCell ref="G4:L4"/>
    <mergeCell ref="B6:C12"/>
    <mergeCell ref="D6:F6"/>
    <mergeCell ref="G6:H6"/>
    <mergeCell ref="I6:J6"/>
    <mergeCell ref="K6:L6"/>
    <mergeCell ref="D10:F10"/>
    <mergeCell ref="G11:H11"/>
    <mergeCell ref="I11:J11"/>
    <mergeCell ref="K11:L11"/>
    <mergeCell ref="D12:F12"/>
    <mergeCell ref="G12:H12"/>
    <mergeCell ref="I12:J12"/>
  </mergeCells>
  <phoneticPr fontId="4"/>
  <printOptions horizontalCentered="1"/>
  <pageMargins left="0.70866141732283472" right="0.70866141732283472" top="0.78740157480314965" bottom="0.39370078740157483" header="0" footer="0"/>
  <pageSetup paperSize="9" scale="4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8">
    <pageSetUpPr fitToPage="1"/>
  </sheetPr>
  <dimension ref="B1:V81"/>
  <sheetViews>
    <sheetView zoomScaleNormal="100" zoomScaleSheetLayoutView="90" workbookViewId="0"/>
  </sheetViews>
  <sheetFormatPr defaultColWidth="8.875" defaultRowHeight="10.15" customHeight="1" x14ac:dyDescent="0.15"/>
  <cols>
    <col min="1" max="1" width="1.75" style="3" customWidth="1"/>
    <col min="2" max="2" width="3.125" style="3" customWidth="1"/>
    <col min="3" max="3" width="8.875" style="3" customWidth="1"/>
    <col min="4" max="4" width="14.25" style="3" customWidth="1"/>
    <col min="5" max="5" width="12.125" style="3" customWidth="1"/>
    <col min="6" max="20" width="7.5" style="3" customWidth="1"/>
    <col min="21" max="21" width="13.5" style="4" customWidth="1"/>
    <col min="22" max="22" width="3.5" style="3" customWidth="1"/>
    <col min="23" max="16384" width="8.875" style="3"/>
  </cols>
  <sheetData>
    <row r="1" spans="2:22" ht="20.100000000000001" customHeight="1" x14ac:dyDescent="0.15">
      <c r="B1" s="551" t="s">
        <v>685</v>
      </c>
      <c r="C1" s="551"/>
      <c r="D1" s="551"/>
      <c r="E1" s="551"/>
      <c r="F1" s="551"/>
      <c r="G1" s="551"/>
      <c r="H1" s="551"/>
      <c r="I1" s="551"/>
      <c r="J1" s="551"/>
      <c r="K1" s="551"/>
      <c r="L1" s="551"/>
      <c r="M1" s="551"/>
      <c r="N1" s="551"/>
      <c r="O1" s="551"/>
      <c r="P1" s="551"/>
      <c r="Q1" s="551"/>
    </row>
    <row r="2" spans="2:22" ht="12" customHeight="1" thickBot="1" x14ac:dyDescent="0.2">
      <c r="C2" s="16"/>
    </row>
    <row r="3" spans="2:22" ht="16.899999999999999" customHeight="1" thickBot="1" x14ac:dyDescent="0.2">
      <c r="B3" s="4"/>
      <c r="C3" s="10"/>
      <c r="D3" s="12"/>
      <c r="E3" s="4"/>
      <c r="F3" s="41" t="s">
        <v>7</v>
      </c>
      <c r="G3" s="639" t="s">
        <v>8</v>
      </c>
      <c r="H3" s="639"/>
      <c r="I3" s="639"/>
      <c r="J3" s="639"/>
      <c r="K3" s="639"/>
      <c r="L3" s="4"/>
      <c r="M3" s="4"/>
      <c r="N3" s="4"/>
      <c r="O3" s="4"/>
      <c r="P3" s="4"/>
      <c r="Q3" s="4"/>
      <c r="R3" s="4"/>
      <c r="S3" s="4"/>
      <c r="T3" s="4"/>
      <c r="V3" s="4"/>
    </row>
    <row r="4" spans="2:22" ht="16.899999999999999" customHeight="1" thickBot="1" x14ac:dyDescent="0.2">
      <c r="B4" s="620" t="s">
        <v>23</v>
      </c>
      <c r="C4" s="621"/>
      <c r="D4" s="31" t="s">
        <v>146</v>
      </c>
      <c r="E4" s="4"/>
      <c r="F4" s="42"/>
      <c r="G4" s="646" t="s">
        <v>147</v>
      </c>
      <c r="H4" s="646"/>
      <c r="I4" s="646"/>
      <c r="J4" s="646"/>
      <c r="K4" s="646"/>
      <c r="L4" s="4"/>
      <c r="M4" s="4"/>
      <c r="N4" s="4"/>
      <c r="O4" s="4"/>
      <c r="P4" s="4"/>
      <c r="Q4" s="4"/>
      <c r="R4" s="4"/>
      <c r="S4" s="4"/>
      <c r="T4" s="4"/>
      <c r="V4" s="4"/>
    </row>
    <row r="5" spans="2:22" ht="10.15" customHeight="1" thickBot="1" x14ac:dyDescent="0.2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V5" s="4"/>
    </row>
    <row r="6" spans="2:22" ht="12" customHeight="1" x14ac:dyDescent="0.15">
      <c r="B6" s="624" t="s">
        <v>300</v>
      </c>
      <c r="C6" s="625"/>
      <c r="D6" s="628" t="s">
        <v>9</v>
      </c>
      <c r="E6" s="629"/>
      <c r="F6" s="167">
        <v>45028</v>
      </c>
      <c r="G6" s="233">
        <v>45056</v>
      </c>
      <c r="H6" s="233">
        <v>45084</v>
      </c>
      <c r="I6" s="233">
        <v>45112</v>
      </c>
      <c r="J6" s="233">
        <v>45140</v>
      </c>
      <c r="K6" s="233">
        <v>45175</v>
      </c>
      <c r="L6" s="374">
        <v>45203</v>
      </c>
      <c r="M6" s="233">
        <v>45238</v>
      </c>
      <c r="N6" s="233">
        <v>45266</v>
      </c>
      <c r="O6" s="233">
        <v>45301</v>
      </c>
      <c r="P6" s="233">
        <v>45329</v>
      </c>
      <c r="Q6" s="405">
        <v>45357</v>
      </c>
      <c r="R6" s="608" t="s">
        <v>0</v>
      </c>
      <c r="S6" s="612" t="s">
        <v>1</v>
      </c>
      <c r="T6" s="617" t="s">
        <v>2</v>
      </c>
      <c r="U6" s="577" t="s">
        <v>15</v>
      </c>
      <c r="V6" s="4"/>
    </row>
    <row r="7" spans="2:22" ht="12" customHeight="1" x14ac:dyDescent="0.15">
      <c r="B7" s="626"/>
      <c r="C7" s="627"/>
      <c r="D7" s="622" t="s">
        <v>14</v>
      </c>
      <c r="E7" s="623"/>
      <c r="F7" s="168">
        <v>0.4152777777777778</v>
      </c>
      <c r="G7" s="169">
        <v>0.47430555555555554</v>
      </c>
      <c r="H7" s="169">
        <v>0.4375</v>
      </c>
      <c r="I7" s="169">
        <v>0.5229166666666667</v>
      </c>
      <c r="J7" s="169">
        <v>0.45902777777777781</v>
      </c>
      <c r="K7" s="169">
        <v>0.47569444444444442</v>
      </c>
      <c r="L7" s="375">
        <v>0.4680555555555555</v>
      </c>
      <c r="M7" s="169">
        <v>0.4694444444444445</v>
      </c>
      <c r="N7" s="169">
        <v>0.40833333333333338</v>
      </c>
      <c r="O7" s="169">
        <v>0.41666666666666669</v>
      </c>
      <c r="P7" s="169">
        <v>0.3923611111111111</v>
      </c>
      <c r="Q7" s="406">
        <v>0.4055555555555555</v>
      </c>
      <c r="R7" s="609"/>
      <c r="S7" s="613"/>
      <c r="T7" s="618"/>
      <c r="U7" s="578"/>
      <c r="V7" s="4"/>
    </row>
    <row r="8" spans="2:22" ht="12" customHeight="1" x14ac:dyDescent="0.15">
      <c r="B8" s="626"/>
      <c r="C8" s="627"/>
      <c r="D8" s="622" t="s">
        <v>10</v>
      </c>
      <c r="E8" s="623"/>
      <c r="F8" s="169" t="s">
        <v>466</v>
      </c>
      <c r="G8" s="169" t="s">
        <v>515</v>
      </c>
      <c r="H8" s="169" t="s">
        <v>580</v>
      </c>
      <c r="I8" s="169" t="s">
        <v>302</v>
      </c>
      <c r="J8" s="169" t="s">
        <v>580</v>
      </c>
      <c r="K8" s="172" t="s">
        <v>302</v>
      </c>
      <c r="L8" s="363" t="s">
        <v>580</v>
      </c>
      <c r="M8" s="380" t="s">
        <v>606</v>
      </c>
      <c r="N8" s="169" t="s">
        <v>302</v>
      </c>
      <c r="O8" s="169" t="s">
        <v>557</v>
      </c>
      <c r="P8" s="169" t="s">
        <v>302</v>
      </c>
      <c r="Q8" s="406" t="s">
        <v>508</v>
      </c>
      <c r="R8" s="609"/>
      <c r="S8" s="613"/>
      <c r="T8" s="618"/>
      <c r="U8" s="578"/>
      <c r="V8" s="4"/>
    </row>
    <row r="9" spans="2:22" ht="12" customHeight="1" x14ac:dyDescent="0.15">
      <c r="B9" s="626"/>
      <c r="C9" s="627"/>
      <c r="D9" s="649" t="s">
        <v>11</v>
      </c>
      <c r="E9" s="650"/>
      <c r="F9" s="169" t="s">
        <v>525</v>
      </c>
      <c r="G9" s="169" t="s">
        <v>515</v>
      </c>
      <c r="H9" s="169" t="s">
        <v>580</v>
      </c>
      <c r="I9" s="169" t="s">
        <v>302</v>
      </c>
      <c r="J9" s="169" t="s">
        <v>580</v>
      </c>
      <c r="K9" s="172" t="s">
        <v>525</v>
      </c>
      <c r="L9" s="378" t="s">
        <v>580</v>
      </c>
      <c r="M9" s="380" t="s">
        <v>606</v>
      </c>
      <c r="N9" s="169" t="s">
        <v>580</v>
      </c>
      <c r="O9" s="169" t="s">
        <v>557</v>
      </c>
      <c r="P9" s="169" t="s">
        <v>302</v>
      </c>
      <c r="Q9" s="484" t="s">
        <v>302</v>
      </c>
      <c r="R9" s="610"/>
      <c r="S9" s="614"/>
      <c r="T9" s="619"/>
      <c r="U9" s="578"/>
      <c r="V9" s="4"/>
    </row>
    <row r="10" spans="2:22" ht="12" customHeight="1" x14ac:dyDescent="0.15">
      <c r="B10" s="626"/>
      <c r="C10" s="627"/>
      <c r="D10" s="649" t="s">
        <v>12</v>
      </c>
      <c r="E10" s="650"/>
      <c r="F10" s="170">
        <v>9.1999999999999993</v>
      </c>
      <c r="G10" s="91">
        <v>19.3</v>
      </c>
      <c r="H10" s="91">
        <v>26.4</v>
      </c>
      <c r="I10" s="91">
        <v>27.8</v>
      </c>
      <c r="J10" s="91">
        <v>32.200000000000003</v>
      </c>
      <c r="K10" s="91">
        <v>25.3</v>
      </c>
      <c r="L10" s="366">
        <v>24.8</v>
      </c>
      <c r="M10" s="91">
        <v>13.3</v>
      </c>
      <c r="N10" s="91">
        <v>8.6</v>
      </c>
      <c r="O10" s="91">
        <v>0.8</v>
      </c>
      <c r="P10" s="91">
        <v>2.2999999999999998</v>
      </c>
      <c r="Q10" s="395">
        <v>3.8</v>
      </c>
      <c r="R10" s="170">
        <f>MAX(F10:Q10)</f>
        <v>32.200000000000003</v>
      </c>
      <c r="S10" s="485">
        <f>MIN(F10:Q10)</f>
        <v>0.8</v>
      </c>
      <c r="T10" s="395">
        <f>AVERAGEA(F10:Q10)</f>
        <v>16.150000000000006</v>
      </c>
      <c r="U10" s="578"/>
      <c r="V10" s="4"/>
    </row>
    <row r="11" spans="2:22" ht="12" customHeight="1" x14ac:dyDescent="0.15">
      <c r="B11" s="626"/>
      <c r="C11" s="627"/>
      <c r="D11" s="649" t="s">
        <v>263</v>
      </c>
      <c r="E11" s="650"/>
      <c r="F11" s="170">
        <v>8.5</v>
      </c>
      <c r="G11" s="91">
        <v>11.2</v>
      </c>
      <c r="H11" s="91">
        <v>15.4</v>
      </c>
      <c r="I11" s="91">
        <v>18.7</v>
      </c>
      <c r="J11" s="91">
        <v>20.7</v>
      </c>
      <c r="K11" s="91">
        <v>16.7</v>
      </c>
      <c r="L11" s="366">
        <v>20.9</v>
      </c>
      <c r="M11" s="91">
        <v>14</v>
      </c>
      <c r="N11" s="91">
        <v>9.9</v>
      </c>
      <c r="O11" s="91">
        <v>6.7</v>
      </c>
      <c r="P11" s="91">
        <v>5.2</v>
      </c>
      <c r="Q11" s="395">
        <v>7.9</v>
      </c>
      <c r="R11" s="170">
        <f>MAX(F11:Q11)</f>
        <v>20.9</v>
      </c>
      <c r="S11" s="485">
        <f>MIN(F11:Q11)</f>
        <v>5.2</v>
      </c>
      <c r="T11" s="395">
        <f>AVERAGEA(F11:Q11)</f>
        <v>12.983333333333333</v>
      </c>
      <c r="U11" s="578"/>
      <c r="V11" s="4"/>
    </row>
    <row r="12" spans="2:22" ht="12" customHeight="1" thickBot="1" x14ac:dyDescent="0.2">
      <c r="B12" s="747"/>
      <c r="C12" s="748"/>
      <c r="D12" s="745" t="s">
        <v>4</v>
      </c>
      <c r="E12" s="746"/>
      <c r="F12" s="197">
        <v>0.52</v>
      </c>
      <c r="G12" s="275">
        <v>0.49</v>
      </c>
      <c r="H12" s="247">
        <v>0.56000000000000005</v>
      </c>
      <c r="I12" s="330">
        <v>0.65</v>
      </c>
      <c r="J12" s="247">
        <v>0.67</v>
      </c>
      <c r="K12" s="247">
        <v>0.64</v>
      </c>
      <c r="L12" s="372">
        <v>0.61</v>
      </c>
      <c r="M12" s="387">
        <v>0.65</v>
      </c>
      <c r="N12" s="330">
        <v>0.67</v>
      </c>
      <c r="O12" s="330">
        <v>0.52</v>
      </c>
      <c r="P12" s="330">
        <v>0.52</v>
      </c>
      <c r="Q12" s="509">
        <v>0.51</v>
      </c>
      <c r="R12" s="491">
        <f>MAX(F12:Q12)</f>
        <v>0.67</v>
      </c>
      <c r="S12" s="490">
        <f>MIN(F12:Q12)</f>
        <v>0.49</v>
      </c>
      <c r="T12" s="463">
        <f>AVERAGEA(F12:Q12)</f>
        <v>0.58416666666666661</v>
      </c>
      <c r="U12" s="579"/>
      <c r="V12" s="4"/>
    </row>
    <row r="13" spans="2:22" ht="15" customHeight="1" x14ac:dyDescent="0.15">
      <c r="B13" s="584" t="s">
        <v>125</v>
      </c>
      <c r="C13" s="585"/>
      <c r="D13" s="585"/>
      <c r="E13" s="32" t="s">
        <v>64</v>
      </c>
      <c r="F13" s="587" t="s">
        <v>3</v>
      </c>
      <c r="G13" s="658"/>
      <c r="H13" s="585"/>
      <c r="I13" s="585"/>
      <c r="J13" s="585"/>
      <c r="K13" s="585"/>
      <c r="L13" s="585"/>
      <c r="M13" s="585"/>
      <c r="N13" s="585"/>
      <c r="O13" s="585"/>
      <c r="P13" s="585"/>
      <c r="Q13" s="588"/>
      <c r="R13" s="590"/>
      <c r="S13" s="590"/>
      <c r="T13" s="591"/>
      <c r="U13" s="29"/>
      <c r="V13" s="4"/>
    </row>
    <row r="14" spans="2:22" ht="12" customHeight="1" x14ac:dyDescent="0.15">
      <c r="B14" s="19">
        <v>1</v>
      </c>
      <c r="C14" s="592" t="s">
        <v>24</v>
      </c>
      <c r="D14" s="593"/>
      <c r="E14" s="11" t="s">
        <v>105</v>
      </c>
      <c r="F14" s="182">
        <v>0</v>
      </c>
      <c r="G14" s="234">
        <v>0</v>
      </c>
      <c r="H14" s="234">
        <v>0</v>
      </c>
      <c r="I14" s="234">
        <v>0</v>
      </c>
      <c r="J14" s="234">
        <v>0</v>
      </c>
      <c r="K14" s="234">
        <v>0</v>
      </c>
      <c r="L14" s="234">
        <v>0</v>
      </c>
      <c r="M14" s="234">
        <v>0</v>
      </c>
      <c r="N14" s="234">
        <v>0</v>
      </c>
      <c r="O14" s="234">
        <v>0</v>
      </c>
      <c r="P14" s="234">
        <v>0</v>
      </c>
      <c r="Q14" s="392">
        <v>0</v>
      </c>
      <c r="R14" s="308">
        <f>IF(MAX(F14:Q14)=0,0,MAX(F14:Q14))</f>
        <v>0</v>
      </c>
      <c r="S14" s="358">
        <f>IF(MIN(F14:Q14)=0,0,MIN(F14:Q14))</f>
        <v>0</v>
      </c>
      <c r="T14" s="418">
        <f>IF(AVERAGEA(F14:Q14)=0,0,AVERAGEA(F14:Q14))</f>
        <v>0</v>
      </c>
      <c r="U14" s="594" t="s">
        <v>59</v>
      </c>
      <c r="V14" s="2"/>
    </row>
    <row r="15" spans="2:22" ht="12" customHeight="1" x14ac:dyDescent="0.15">
      <c r="B15" s="19">
        <f>B14+1</f>
        <v>2</v>
      </c>
      <c r="C15" s="592" t="s">
        <v>25</v>
      </c>
      <c r="D15" s="593"/>
      <c r="E15" s="15" t="s">
        <v>114</v>
      </c>
      <c r="F15" s="184" t="s">
        <v>303</v>
      </c>
      <c r="G15" s="172" t="s">
        <v>303</v>
      </c>
      <c r="H15" s="172" t="s">
        <v>303</v>
      </c>
      <c r="I15" s="172" t="s">
        <v>303</v>
      </c>
      <c r="J15" s="172" t="s">
        <v>303</v>
      </c>
      <c r="K15" s="172" t="s">
        <v>303</v>
      </c>
      <c r="L15" s="363" t="s">
        <v>303</v>
      </c>
      <c r="M15" s="380" t="s">
        <v>603</v>
      </c>
      <c r="N15" s="441" t="s">
        <v>303</v>
      </c>
      <c r="O15" s="447" t="s">
        <v>303</v>
      </c>
      <c r="P15" s="478" t="s">
        <v>303</v>
      </c>
      <c r="Q15" s="484" t="s">
        <v>303</v>
      </c>
      <c r="R15" s="489"/>
      <c r="S15" s="482"/>
      <c r="T15" s="484"/>
      <c r="U15" s="596"/>
      <c r="V15" s="2"/>
    </row>
    <row r="16" spans="2:22" ht="12" customHeight="1" x14ac:dyDescent="0.15">
      <c r="B16" s="19">
        <f t="shared" ref="B16:B64" si="0">B15+1</f>
        <v>3</v>
      </c>
      <c r="C16" s="592" t="s">
        <v>26</v>
      </c>
      <c r="D16" s="593"/>
      <c r="E16" s="11" t="s">
        <v>209</v>
      </c>
      <c r="F16" s="175" t="s">
        <v>304</v>
      </c>
      <c r="G16" s="179"/>
      <c r="H16" s="265"/>
      <c r="I16" s="179" t="s">
        <v>304</v>
      </c>
      <c r="J16" s="265"/>
      <c r="K16" s="179"/>
      <c r="L16" s="179" t="s">
        <v>304</v>
      </c>
      <c r="M16" s="179"/>
      <c r="N16" s="179"/>
      <c r="O16" s="179" t="s">
        <v>304</v>
      </c>
      <c r="P16" s="179"/>
      <c r="Q16" s="393"/>
      <c r="R16" s="239" t="str">
        <f>IF(MAXA(F16:Q16)&lt;0.0003,"&lt;0.0003",MAXA(F16:Q16))</f>
        <v>&lt;0.0003</v>
      </c>
      <c r="S16" s="179" t="str">
        <f>IF(MINA(F16:Q16)&lt;0.0003,"&lt;0.0003",MINA(F16:Q16))</f>
        <v>&lt;0.0003</v>
      </c>
      <c r="T16" s="393" t="str">
        <f>IF(AVERAGEA(F16:Q16)&lt;0.0003,"&lt;0.0003",AVERAGEA(F16:Q16))</f>
        <v>&lt;0.0003</v>
      </c>
      <c r="U16" s="594" t="s">
        <v>60</v>
      </c>
      <c r="V16" s="2"/>
    </row>
    <row r="17" spans="2:22" ht="12" customHeight="1" x14ac:dyDescent="0.15">
      <c r="B17" s="19">
        <f t="shared" si="0"/>
        <v>4</v>
      </c>
      <c r="C17" s="592" t="s">
        <v>27</v>
      </c>
      <c r="D17" s="593"/>
      <c r="E17" s="11" t="s">
        <v>106</v>
      </c>
      <c r="F17" s="208" t="s">
        <v>305</v>
      </c>
      <c r="G17" s="235"/>
      <c r="H17" s="266"/>
      <c r="I17" s="235" t="s">
        <v>305</v>
      </c>
      <c r="J17" s="266"/>
      <c r="K17" s="235"/>
      <c r="L17" s="235" t="s">
        <v>305</v>
      </c>
      <c r="M17" s="235"/>
      <c r="N17" s="235"/>
      <c r="O17" s="235" t="s">
        <v>305</v>
      </c>
      <c r="P17" s="235"/>
      <c r="Q17" s="394"/>
      <c r="R17" s="276" t="str">
        <f>IF(MAXA(F17:Q17)&lt;0.00005,"&lt;0.00005",MAXA(F17:Q17))</f>
        <v>&lt;0.00005</v>
      </c>
      <c r="S17" s="235" t="str">
        <f>IF(MINA(F17:Q17)&lt;0.00005,"&lt;0.00005",MINA(F17:Q17))</f>
        <v>&lt;0.00005</v>
      </c>
      <c r="T17" s="394" t="str">
        <f>IF(AVERAGEA(F17:Q17)&lt;0.00005,"&lt;0.00005",AVERAGEA(F17:Q17))</f>
        <v>&lt;0.00005</v>
      </c>
      <c r="U17" s="578"/>
      <c r="V17" s="2"/>
    </row>
    <row r="18" spans="2:22" ht="12" customHeight="1" x14ac:dyDescent="0.15">
      <c r="B18" s="19">
        <f t="shared" si="0"/>
        <v>5</v>
      </c>
      <c r="C18" s="592" t="s">
        <v>28</v>
      </c>
      <c r="D18" s="593"/>
      <c r="E18" s="11" t="s">
        <v>93</v>
      </c>
      <c r="F18" s="175" t="s">
        <v>306</v>
      </c>
      <c r="G18" s="179"/>
      <c r="H18" s="265"/>
      <c r="I18" s="179" t="s">
        <v>306</v>
      </c>
      <c r="J18" s="265"/>
      <c r="K18" s="179"/>
      <c r="L18" s="179" t="s">
        <v>306</v>
      </c>
      <c r="M18" s="179"/>
      <c r="N18" s="179"/>
      <c r="O18" s="179" t="s">
        <v>306</v>
      </c>
      <c r="P18" s="179"/>
      <c r="Q18" s="393"/>
      <c r="R18" s="239" t="str">
        <f t="shared" ref="R18:R23" si="1">IF(MAXA(F18:Q18)&lt;0.001,"&lt;0.001",MAXA(F18:Q18))</f>
        <v>&lt;0.001</v>
      </c>
      <c r="S18" s="179" t="str">
        <f t="shared" ref="S18:S23" si="2">IF(MINA(F18:Q18)&lt;0.001,"&lt;0.001",MINA(F18:Q18))</f>
        <v>&lt;0.001</v>
      </c>
      <c r="T18" s="393" t="str">
        <f t="shared" ref="T18:T23" si="3">IF(AVERAGEA(F18:Q18)&lt;0.001,"&lt;0.001",AVERAGEA(F18:Q18))</f>
        <v>&lt;0.001</v>
      </c>
      <c r="U18" s="578"/>
      <c r="V18" s="2"/>
    </row>
    <row r="19" spans="2:22" ht="12" customHeight="1" x14ac:dyDescent="0.15">
      <c r="B19" s="19">
        <f t="shared" si="0"/>
        <v>6</v>
      </c>
      <c r="C19" s="592" t="s">
        <v>29</v>
      </c>
      <c r="D19" s="593"/>
      <c r="E19" s="11" t="s">
        <v>93</v>
      </c>
      <c r="F19" s="175" t="s">
        <v>306</v>
      </c>
      <c r="G19" s="179"/>
      <c r="H19" s="265"/>
      <c r="I19" s="179" t="s">
        <v>306</v>
      </c>
      <c r="J19" s="265"/>
      <c r="K19" s="179"/>
      <c r="L19" s="179" t="s">
        <v>306</v>
      </c>
      <c r="M19" s="179"/>
      <c r="N19" s="179"/>
      <c r="O19" s="179" t="s">
        <v>306</v>
      </c>
      <c r="P19" s="179"/>
      <c r="Q19" s="393"/>
      <c r="R19" s="239" t="str">
        <f t="shared" si="1"/>
        <v>&lt;0.001</v>
      </c>
      <c r="S19" s="179" t="str">
        <f t="shared" si="2"/>
        <v>&lt;0.001</v>
      </c>
      <c r="T19" s="393" t="str">
        <f t="shared" si="3"/>
        <v>&lt;0.001</v>
      </c>
      <c r="U19" s="578"/>
      <c r="V19" s="2"/>
    </row>
    <row r="20" spans="2:22" ht="12" customHeight="1" x14ac:dyDescent="0.15">
      <c r="B20" s="19">
        <f t="shared" si="0"/>
        <v>7</v>
      </c>
      <c r="C20" s="592" t="s">
        <v>30</v>
      </c>
      <c r="D20" s="593"/>
      <c r="E20" s="11" t="s">
        <v>93</v>
      </c>
      <c r="F20" s="175" t="s">
        <v>306</v>
      </c>
      <c r="G20" s="179"/>
      <c r="H20" s="265"/>
      <c r="I20" s="179" t="s">
        <v>306</v>
      </c>
      <c r="J20" s="265"/>
      <c r="K20" s="179"/>
      <c r="L20" s="179" t="s">
        <v>306</v>
      </c>
      <c r="M20" s="179"/>
      <c r="N20" s="179"/>
      <c r="O20" s="179" t="s">
        <v>306</v>
      </c>
      <c r="P20" s="179"/>
      <c r="Q20" s="393"/>
      <c r="R20" s="239" t="str">
        <f t="shared" si="1"/>
        <v>&lt;0.001</v>
      </c>
      <c r="S20" s="179" t="str">
        <f t="shared" si="2"/>
        <v>&lt;0.001</v>
      </c>
      <c r="T20" s="393" t="str">
        <f t="shared" si="3"/>
        <v>&lt;0.001</v>
      </c>
      <c r="U20" s="578"/>
      <c r="V20" s="2"/>
    </row>
    <row r="21" spans="2:22" ht="12" customHeight="1" x14ac:dyDescent="0.15">
      <c r="B21" s="19">
        <f t="shared" si="0"/>
        <v>8</v>
      </c>
      <c r="C21" s="592" t="s">
        <v>31</v>
      </c>
      <c r="D21" s="593"/>
      <c r="E21" s="11" t="s">
        <v>96</v>
      </c>
      <c r="F21" s="175" t="s">
        <v>307</v>
      </c>
      <c r="G21" s="179"/>
      <c r="H21" s="265"/>
      <c r="I21" s="179" t="s">
        <v>307</v>
      </c>
      <c r="J21" s="265"/>
      <c r="K21" s="179"/>
      <c r="L21" s="179" t="s">
        <v>307</v>
      </c>
      <c r="M21" s="179"/>
      <c r="N21" s="179"/>
      <c r="O21" s="179" t="s">
        <v>307</v>
      </c>
      <c r="P21" s="179"/>
      <c r="Q21" s="393"/>
      <c r="R21" s="239" t="str">
        <f>IF(MAXA(F21:Q21)&lt;0.002,"&lt;0.002",MAXA(F21:Q21))</f>
        <v>&lt;0.002</v>
      </c>
      <c r="S21" s="179" t="str">
        <f>IF(MINA(F21:Q21)&lt;0.002,"&lt;0.002",MINA(F21:Q21))</f>
        <v>&lt;0.002</v>
      </c>
      <c r="T21" s="393" t="str">
        <f>IF(AVERAGEA(F21:Q21)&lt;0.002,"&lt;0.002",AVERAGEA(F21:Q21))</f>
        <v>&lt;0.002</v>
      </c>
      <c r="U21" s="596"/>
      <c r="V21" s="2"/>
    </row>
    <row r="22" spans="2:22" ht="12" customHeight="1" x14ac:dyDescent="0.15">
      <c r="B22" s="19">
        <f t="shared" si="0"/>
        <v>9</v>
      </c>
      <c r="C22" s="592" t="s">
        <v>210</v>
      </c>
      <c r="D22" s="611"/>
      <c r="E22" s="11" t="s">
        <v>88</v>
      </c>
      <c r="F22" s="175" t="s">
        <v>308</v>
      </c>
      <c r="G22" s="179" t="s">
        <v>308</v>
      </c>
      <c r="H22" s="265" t="s">
        <v>308</v>
      </c>
      <c r="I22" s="179" t="s">
        <v>308</v>
      </c>
      <c r="J22" s="265" t="s">
        <v>308</v>
      </c>
      <c r="K22" s="265" t="s">
        <v>308</v>
      </c>
      <c r="L22" s="179" t="s">
        <v>308</v>
      </c>
      <c r="M22" s="179" t="s">
        <v>308</v>
      </c>
      <c r="N22" s="179" t="s">
        <v>308</v>
      </c>
      <c r="O22" s="179" t="s">
        <v>308</v>
      </c>
      <c r="P22" s="179" t="s">
        <v>308</v>
      </c>
      <c r="Q22" s="393" t="s">
        <v>308</v>
      </c>
      <c r="R22" s="239" t="str">
        <f>IF(MAXA(F22:Q22)&lt;0.004,"&lt;0.004",MAXA(F22:Q22))</f>
        <v>&lt;0.004</v>
      </c>
      <c r="S22" s="179" t="str">
        <f>IF(MINA(F22:Q22)&lt;0.004,"&lt;0.004",MINA(F22:Q22))</f>
        <v>&lt;0.004</v>
      </c>
      <c r="T22" s="393" t="str">
        <f>IF(AVERAGEA(F22:Q22)&lt;0.004,"&lt;0.004",AVERAGEA(F22:Q22))</f>
        <v>&lt;0.004</v>
      </c>
      <c r="U22" s="594" t="s">
        <v>498</v>
      </c>
      <c r="V22" s="2"/>
    </row>
    <row r="23" spans="2:22" ht="12" customHeight="1" x14ac:dyDescent="0.15">
      <c r="B23" s="19">
        <f t="shared" si="0"/>
        <v>10</v>
      </c>
      <c r="C23" s="592" t="s">
        <v>32</v>
      </c>
      <c r="D23" s="593"/>
      <c r="E23" s="11" t="s">
        <v>93</v>
      </c>
      <c r="F23" s="175" t="s">
        <v>306</v>
      </c>
      <c r="G23" s="179" t="s">
        <v>306</v>
      </c>
      <c r="H23" s="265" t="s">
        <v>306</v>
      </c>
      <c r="I23" s="179" t="s">
        <v>306</v>
      </c>
      <c r="J23" s="265" t="s">
        <v>306</v>
      </c>
      <c r="K23" s="265" t="s">
        <v>306</v>
      </c>
      <c r="L23" s="179" t="s">
        <v>306</v>
      </c>
      <c r="M23" s="179" t="s">
        <v>306</v>
      </c>
      <c r="N23" s="179" t="s">
        <v>306</v>
      </c>
      <c r="O23" s="179" t="s">
        <v>306</v>
      </c>
      <c r="P23" s="179" t="s">
        <v>306</v>
      </c>
      <c r="Q23" s="393" t="s">
        <v>306</v>
      </c>
      <c r="R23" s="239" t="str">
        <f t="shared" si="1"/>
        <v>&lt;0.001</v>
      </c>
      <c r="S23" s="179" t="str">
        <f t="shared" si="2"/>
        <v>&lt;0.001</v>
      </c>
      <c r="T23" s="393" t="str">
        <f t="shared" si="3"/>
        <v>&lt;0.001</v>
      </c>
      <c r="U23" s="578"/>
      <c r="V23" s="2"/>
    </row>
    <row r="24" spans="2:22" ht="12" customHeight="1" x14ac:dyDescent="0.15">
      <c r="B24" s="19">
        <f t="shared" si="0"/>
        <v>11</v>
      </c>
      <c r="C24" s="592" t="s">
        <v>33</v>
      </c>
      <c r="D24" s="593"/>
      <c r="E24" s="11" t="s">
        <v>108</v>
      </c>
      <c r="F24" s="196">
        <v>0.2</v>
      </c>
      <c r="G24" s="91">
        <v>0.1</v>
      </c>
      <c r="H24" s="265" t="s">
        <v>528</v>
      </c>
      <c r="I24" s="315">
        <v>0.2</v>
      </c>
      <c r="J24" s="269">
        <v>0.1</v>
      </c>
      <c r="K24" s="269">
        <v>0.1</v>
      </c>
      <c r="L24" s="366">
        <v>0.4</v>
      </c>
      <c r="M24" s="315">
        <v>0.2</v>
      </c>
      <c r="N24" s="315">
        <v>0.3</v>
      </c>
      <c r="O24" s="315">
        <v>0.2</v>
      </c>
      <c r="P24" s="315">
        <v>0.2</v>
      </c>
      <c r="Q24" s="395">
        <v>0.2</v>
      </c>
      <c r="R24" s="486">
        <f>IF(MAXA(F24:Q24)&lt;0.1,"&lt;0.1",MAXA(F24:Q24))</f>
        <v>0.4</v>
      </c>
      <c r="S24" s="91" t="str">
        <f>IF(MINA(F24:Q24)&lt;0.1,"&lt;0.1",MINA(F24:Q24))</f>
        <v>&lt;0.1</v>
      </c>
      <c r="T24" s="395">
        <f>IF(AVERAGEA(F24:Q24)&lt;0.1,"&lt;0.1",AVERAGEA(F24:Q24))</f>
        <v>0.18333333333333335</v>
      </c>
      <c r="U24" s="578"/>
      <c r="V24" s="2"/>
    </row>
    <row r="25" spans="2:22" ht="12" customHeight="1" x14ac:dyDescent="0.15">
      <c r="B25" s="19">
        <f t="shared" si="0"/>
        <v>12</v>
      </c>
      <c r="C25" s="592" t="s">
        <v>34</v>
      </c>
      <c r="D25" s="593"/>
      <c r="E25" s="11" t="s">
        <v>109</v>
      </c>
      <c r="F25" s="175" t="s">
        <v>309</v>
      </c>
      <c r="G25" s="178"/>
      <c r="H25" s="268"/>
      <c r="I25" s="179" t="s">
        <v>309</v>
      </c>
      <c r="J25" s="178"/>
      <c r="K25" s="178"/>
      <c r="L25" s="179" t="s">
        <v>309</v>
      </c>
      <c r="M25" s="268"/>
      <c r="N25" s="178"/>
      <c r="O25" s="179" t="s">
        <v>309</v>
      </c>
      <c r="P25" s="178"/>
      <c r="Q25" s="396"/>
      <c r="R25" s="178" t="str">
        <f>IF(MAXA(F25:Q25)&lt;0.08,"&lt;0.08",MAXA(F25:Q25))</f>
        <v>&lt;0.08</v>
      </c>
      <c r="S25" s="178" t="str">
        <f>IF(MINA(F25:Q25)&lt;0.08,"&lt;0.08",MINA(F25:Q25))</f>
        <v>&lt;0.08</v>
      </c>
      <c r="T25" s="396" t="str">
        <f>IF(AVERAGEA(F25:Q25)&lt;0.08,"&lt;0.08",AVERAGEA(F25:Q25))</f>
        <v>&lt;0.08</v>
      </c>
      <c r="U25" s="578"/>
      <c r="V25" s="2"/>
    </row>
    <row r="26" spans="2:22" ht="12" customHeight="1" x14ac:dyDescent="0.15">
      <c r="B26" s="19">
        <f t="shared" si="0"/>
        <v>13</v>
      </c>
      <c r="C26" s="592" t="s">
        <v>35</v>
      </c>
      <c r="D26" s="593"/>
      <c r="E26" s="11" t="s">
        <v>110</v>
      </c>
      <c r="F26" s="196" t="s">
        <v>310</v>
      </c>
      <c r="G26" s="91"/>
      <c r="H26" s="269"/>
      <c r="I26" s="91" t="s">
        <v>310</v>
      </c>
      <c r="J26" s="91"/>
      <c r="K26" s="91"/>
      <c r="L26" s="91" t="s">
        <v>310</v>
      </c>
      <c r="M26" s="91"/>
      <c r="N26" s="91"/>
      <c r="O26" s="91" t="s">
        <v>310</v>
      </c>
      <c r="P26" s="91"/>
      <c r="Q26" s="395"/>
      <c r="R26" s="91" t="str">
        <f>IF(MAXA(F26:Q26)&lt;0.1,"&lt;0.1",MAXA(F26:Q26))</f>
        <v>&lt;0.1</v>
      </c>
      <c r="S26" s="91" t="str">
        <f>IF(MINA(F26:Q26)&lt;0.1,"&lt;0.1",MINA(F26:Q26))</f>
        <v>&lt;0.1</v>
      </c>
      <c r="T26" s="395" t="str">
        <f>IF(AVERAGEA(F26:Q26)&lt;0.1,"&lt;0.1",AVERAGEA(F26:Q26))</f>
        <v>&lt;0.1</v>
      </c>
      <c r="U26" s="596"/>
      <c r="V26" s="2"/>
    </row>
    <row r="27" spans="2:22" ht="12" customHeight="1" x14ac:dyDescent="0.15">
      <c r="B27" s="19">
        <f t="shared" si="0"/>
        <v>14</v>
      </c>
      <c r="C27" s="592" t="s">
        <v>36</v>
      </c>
      <c r="D27" s="593"/>
      <c r="E27" s="11" t="s">
        <v>111</v>
      </c>
      <c r="F27" s="202" t="s">
        <v>311</v>
      </c>
      <c r="G27" s="237"/>
      <c r="H27" s="270"/>
      <c r="I27" s="237" t="s">
        <v>311</v>
      </c>
      <c r="J27" s="237"/>
      <c r="K27" s="237"/>
      <c r="L27" s="237" t="s">
        <v>311</v>
      </c>
      <c r="M27" s="237"/>
      <c r="N27" s="237"/>
      <c r="O27" s="237" t="s">
        <v>311</v>
      </c>
      <c r="P27" s="237"/>
      <c r="Q27" s="397"/>
      <c r="R27" s="237" t="str">
        <f>IF(MAXA(F27:Q27)&lt;0.0002,"&lt;0.0002",MAXA(F27:Q27))</f>
        <v>&lt;0.0002</v>
      </c>
      <c r="S27" s="237" t="str">
        <f>IF(MINA(F27:Q27)&lt;0.0002,"&lt;0.0002",MINA(F27:Q27))</f>
        <v>&lt;0.0002</v>
      </c>
      <c r="T27" s="397" t="str">
        <f>IF(AVERAGEA(F27:Q27)&lt;0.0002,"&lt;0.0002",AVERAGEA(F27:Q27))</f>
        <v>&lt;0.0002</v>
      </c>
      <c r="U27" s="594" t="s">
        <v>62</v>
      </c>
      <c r="V27" s="2"/>
    </row>
    <row r="28" spans="2:22" ht="12" customHeight="1" x14ac:dyDescent="0.15">
      <c r="B28" s="19">
        <f t="shared" si="0"/>
        <v>15</v>
      </c>
      <c r="C28" s="592" t="s">
        <v>187</v>
      </c>
      <c r="D28" s="593"/>
      <c r="E28" s="11" t="s">
        <v>107</v>
      </c>
      <c r="F28" s="175" t="s">
        <v>312</v>
      </c>
      <c r="G28" s="179"/>
      <c r="H28" s="265"/>
      <c r="I28" s="179" t="s">
        <v>312</v>
      </c>
      <c r="J28" s="179"/>
      <c r="K28" s="179"/>
      <c r="L28" s="179" t="s">
        <v>312</v>
      </c>
      <c r="M28" s="179"/>
      <c r="N28" s="179"/>
      <c r="O28" s="179" t="s">
        <v>312</v>
      </c>
      <c r="P28" s="179"/>
      <c r="Q28" s="393"/>
      <c r="R28" s="239" t="str">
        <f>IF(MAXA(F28:Q28)&lt;0.005,"&lt;0.005",MAXA(F28:Q28))</f>
        <v>&lt;0.005</v>
      </c>
      <c r="S28" s="179" t="str">
        <f>IF(MINA(F28:Q28)&lt;0.005,"&lt;0.005",MINA(F28:Q28))</f>
        <v>&lt;0.005</v>
      </c>
      <c r="T28" s="393" t="str">
        <f>IF(AVERAGEA(F28:Q28)&lt;0.005,"&lt;0.005",AVERAGEA(F28:Q28))</f>
        <v>&lt;0.005</v>
      </c>
      <c r="U28" s="578"/>
      <c r="V28" s="2"/>
    </row>
    <row r="29" spans="2:22" ht="24" customHeight="1" x14ac:dyDescent="0.15">
      <c r="B29" s="19">
        <f>B28+1</f>
        <v>16</v>
      </c>
      <c r="C29" s="597" t="s">
        <v>256</v>
      </c>
      <c r="D29" s="593"/>
      <c r="E29" s="11" t="s">
        <v>88</v>
      </c>
      <c r="F29" s="175" t="s">
        <v>307</v>
      </c>
      <c r="G29" s="179"/>
      <c r="H29" s="265"/>
      <c r="I29" s="179" t="s">
        <v>307</v>
      </c>
      <c r="J29" s="179"/>
      <c r="K29" s="179"/>
      <c r="L29" s="179" t="s">
        <v>307</v>
      </c>
      <c r="M29" s="179"/>
      <c r="N29" s="179"/>
      <c r="O29" s="179" t="s">
        <v>307</v>
      </c>
      <c r="P29" s="179"/>
      <c r="Q29" s="393"/>
      <c r="R29" s="179" t="str">
        <f>IF(MAXA(F29:Q29)&lt;0.002,"&lt;0.002",MAXA(F29:Q29))</f>
        <v>&lt;0.002</v>
      </c>
      <c r="S29" s="179" t="str">
        <f>IF(MINA(F29:Q29)&lt;0.002,"&lt;0.002",MINA(F29:Q29))</f>
        <v>&lt;0.002</v>
      </c>
      <c r="T29" s="393" t="str">
        <f>IF(AVERAGEA(F29:Q29)&lt;0.002,"&lt;0.002",AVERAGEA(F29:Q29))</f>
        <v>&lt;0.002</v>
      </c>
      <c r="U29" s="578"/>
      <c r="V29" s="2"/>
    </row>
    <row r="30" spans="2:22" ht="12" customHeight="1" x14ac:dyDescent="0.15">
      <c r="B30" s="19">
        <f t="shared" si="0"/>
        <v>17</v>
      </c>
      <c r="C30" s="592" t="s">
        <v>188</v>
      </c>
      <c r="D30" s="593"/>
      <c r="E30" s="11" t="s">
        <v>96</v>
      </c>
      <c r="F30" s="175" t="s">
        <v>306</v>
      </c>
      <c r="G30" s="179"/>
      <c r="H30" s="265"/>
      <c r="I30" s="179" t="s">
        <v>306</v>
      </c>
      <c r="J30" s="179"/>
      <c r="K30" s="179"/>
      <c r="L30" s="179" t="s">
        <v>306</v>
      </c>
      <c r="M30" s="179"/>
      <c r="N30" s="179"/>
      <c r="O30" s="179" t="s">
        <v>306</v>
      </c>
      <c r="P30" s="179"/>
      <c r="Q30" s="393"/>
      <c r="R30" s="179" t="str">
        <f>IF(MAXA(F30:Q30)&lt;0.001,"&lt;0.001",MAXA(F30:Q30))</f>
        <v>&lt;0.001</v>
      </c>
      <c r="S30" s="179" t="str">
        <f>IF(MINA(F30:Q30)&lt;0.001,"&lt;0.001",MINA(F30:Q30))</f>
        <v>&lt;0.001</v>
      </c>
      <c r="T30" s="393" t="str">
        <f>IF(AVERAGEA(F30:Q30)&lt;0.001,"&lt;0.001",AVERAGEA(F30:Q30))</f>
        <v>&lt;0.001</v>
      </c>
      <c r="U30" s="578"/>
      <c r="V30" s="2"/>
    </row>
    <row r="31" spans="2:22" ht="12" customHeight="1" x14ac:dyDescent="0.15">
      <c r="B31" s="19">
        <f t="shared" si="0"/>
        <v>18</v>
      </c>
      <c r="C31" s="592" t="s">
        <v>189</v>
      </c>
      <c r="D31" s="593"/>
      <c r="E31" s="11" t="s">
        <v>93</v>
      </c>
      <c r="F31" s="175" t="s">
        <v>306</v>
      </c>
      <c r="G31" s="179"/>
      <c r="H31" s="265"/>
      <c r="I31" s="179" t="s">
        <v>306</v>
      </c>
      <c r="J31" s="179"/>
      <c r="K31" s="179"/>
      <c r="L31" s="179" t="s">
        <v>306</v>
      </c>
      <c r="M31" s="179"/>
      <c r="N31" s="179"/>
      <c r="O31" s="179" t="s">
        <v>306</v>
      </c>
      <c r="P31" s="179"/>
      <c r="Q31" s="393"/>
      <c r="R31" s="179" t="str">
        <f>IF(MAXA(F31:Q31)&lt;0.001,"&lt;0.001",MAXA(F31:Q31))</f>
        <v>&lt;0.001</v>
      </c>
      <c r="S31" s="179" t="str">
        <f>IF(MINA(F31:Q31)&lt;0.001,"&lt;0.001",MINA(F31:Q31))</f>
        <v>&lt;0.001</v>
      </c>
      <c r="T31" s="393" t="str">
        <f>IF(AVERAGEA(F31:Q31)&lt;0.001,"&lt;0.001",AVERAGEA(F31:Q31))</f>
        <v>&lt;0.001</v>
      </c>
      <c r="U31" s="578"/>
      <c r="V31" s="2"/>
    </row>
    <row r="32" spans="2:22" ht="12" customHeight="1" x14ac:dyDescent="0.15">
      <c r="B32" s="19">
        <f t="shared" si="0"/>
        <v>19</v>
      </c>
      <c r="C32" s="592" t="s">
        <v>190</v>
      </c>
      <c r="D32" s="593"/>
      <c r="E32" s="11" t="s">
        <v>93</v>
      </c>
      <c r="F32" s="175" t="s">
        <v>306</v>
      </c>
      <c r="G32" s="179"/>
      <c r="H32" s="265"/>
      <c r="I32" s="179" t="s">
        <v>306</v>
      </c>
      <c r="J32" s="179"/>
      <c r="K32" s="179"/>
      <c r="L32" s="179" t="s">
        <v>306</v>
      </c>
      <c r="M32" s="179"/>
      <c r="N32" s="179"/>
      <c r="O32" s="179" t="s">
        <v>306</v>
      </c>
      <c r="P32" s="179"/>
      <c r="Q32" s="393"/>
      <c r="R32" s="179" t="str">
        <f>IF(MAXA(F32:Q32)&lt;0.001,"&lt;0.001",MAXA(F32:Q32))</f>
        <v>&lt;0.001</v>
      </c>
      <c r="S32" s="179" t="str">
        <f>IF(MINA(F32:Q32)&lt;0.001,"&lt;0.001",MINA(F32:Q32))</f>
        <v>&lt;0.001</v>
      </c>
      <c r="T32" s="393" t="str">
        <f>IF(AVERAGEA(F32:Q32)&lt;0.001,"&lt;0.001",AVERAGEA(F32:Q32))</f>
        <v>&lt;0.001</v>
      </c>
      <c r="U32" s="578"/>
      <c r="V32" s="2"/>
    </row>
    <row r="33" spans="2:22" ht="12" customHeight="1" x14ac:dyDescent="0.15">
      <c r="B33" s="19">
        <f t="shared" si="0"/>
        <v>20</v>
      </c>
      <c r="C33" s="592" t="s">
        <v>191</v>
      </c>
      <c r="D33" s="593"/>
      <c r="E33" s="11" t="s">
        <v>93</v>
      </c>
      <c r="F33" s="175" t="s">
        <v>306</v>
      </c>
      <c r="G33" s="179"/>
      <c r="H33" s="265"/>
      <c r="I33" s="179" t="s">
        <v>306</v>
      </c>
      <c r="J33" s="179"/>
      <c r="K33" s="179"/>
      <c r="L33" s="179" t="s">
        <v>306</v>
      </c>
      <c r="M33" s="179"/>
      <c r="N33" s="179"/>
      <c r="O33" s="179" t="s">
        <v>306</v>
      </c>
      <c r="P33" s="179"/>
      <c r="Q33" s="393"/>
      <c r="R33" s="179" t="str">
        <f>IF(MAXA(F33:Q33)&lt;0.001,"&lt;0.001",MAXA(F33:Q33))</f>
        <v>&lt;0.001</v>
      </c>
      <c r="S33" s="179" t="str">
        <f>IF(MINA(F33:Q33)&lt;0.001,"&lt;0.001",MINA(F33:Q33))</f>
        <v>&lt;0.001</v>
      </c>
      <c r="T33" s="393" t="str">
        <f>IF(AVERAGEA(F33:Q33)&lt;0.001,"&lt;0.001",AVERAGEA(F33:Q33))</f>
        <v>&lt;0.001</v>
      </c>
      <c r="U33" s="596"/>
      <c r="V33" s="2"/>
    </row>
    <row r="34" spans="2:22" ht="12" customHeight="1" x14ac:dyDescent="0.15">
      <c r="B34" s="19">
        <f t="shared" si="0"/>
        <v>21</v>
      </c>
      <c r="C34" s="592" t="s">
        <v>252</v>
      </c>
      <c r="D34" s="593"/>
      <c r="E34" s="11" t="s">
        <v>91</v>
      </c>
      <c r="F34" s="175" t="s">
        <v>322</v>
      </c>
      <c r="G34" s="179" t="s">
        <v>322</v>
      </c>
      <c r="H34" s="265" t="s">
        <v>322</v>
      </c>
      <c r="I34" s="265" t="s">
        <v>589</v>
      </c>
      <c r="J34" s="265" t="s">
        <v>322</v>
      </c>
      <c r="K34" s="352">
        <v>0.14000000000000001</v>
      </c>
      <c r="L34" s="265" t="s">
        <v>322</v>
      </c>
      <c r="M34" s="265" t="s">
        <v>322</v>
      </c>
      <c r="N34" s="265" t="s">
        <v>322</v>
      </c>
      <c r="O34" s="179" t="s">
        <v>322</v>
      </c>
      <c r="P34" s="265" t="s">
        <v>322</v>
      </c>
      <c r="Q34" s="393" t="s">
        <v>322</v>
      </c>
      <c r="R34" s="277">
        <f>IF(MAXA(F34:Q34)&lt;0.06,"&lt;0.06",MAXA(F34:Q34))</f>
        <v>0.14000000000000001</v>
      </c>
      <c r="S34" s="179" t="str">
        <f>IF(MINA(F34:Q34)&lt;0.06,"&lt;0.06",MINA(F34:Q34))</f>
        <v>&lt;0.06</v>
      </c>
      <c r="T34" s="393" t="str">
        <f>IF(AVERAGEA(F34:Q34)&lt;0.06,"&lt;0.06",AVERAGEA(F34:Q34))</f>
        <v>&lt;0.06</v>
      </c>
      <c r="U34" s="594" t="s">
        <v>61</v>
      </c>
      <c r="V34" s="2"/>
    </row>
    <row r="35" spans="2:22" ht="12" customHeight="1" x14ac:dyDescent="0.15">
      <c r="B35" s="19">
        <f t="shared" si="0"/>
        <v>22</v>
      </c>
      <c r="C35" s="592" t="s">
        <v>37</v>
      </c>
      <c r="D35" s="593"/>
      <c r="E35" s="11" t="s">
        <v>96</v>
      </c>
      <c r="F35" s="175" t="s">
        <v>307</v>
      </c>
      <c r="G35" s="179" t="s">
        <v>307</v>
      </c>
      <c r="H35" s="265" t="s">
        <v>307</v>
      </c>
      <c r="I35" s="179" t="s">
        <v>307</v>
      </c>
      <c r="J35" s="179" t="s">
        <v>307</v>
      </c>
      <c r="K35" s="179" t="s">
        <v>307</v>
      </c>
      <c r="L35" s="179" t="s">
        <v>307</v>
      </c>
      <c r="M35" s="179" t="s">
        <v>307</v>
      </c>
      <c r="N35" s="179" t="s">
        <v>307</v>
      </c>
      <c r="O35" s="179" t="s">
        <v>307</v>
      </c>
      <c r="P35" s="179" t="s">
        <v>307</v>
      </c>
      <c r="Q35" s="393" t="s">
        <v>307</v>
      </c>
      <c r="R35" s="239" t="str">
        <f>IF(MAXA(F35:Q35)&lt;0.002,"&lt;0.002",MAXA(F35:Q35))</f>
        <v>&lt;0.002</v>
      </c>
      <c r="S35" s="179" t="str">
        <f>IF(MINA(F35:Q35)&lt;0.002,"&lt;0.002",MINA(F35:Q35))</f>
        <v>&lt;0.002</v>
      </c>
      <c r="T35" s="393" t="str">
        <f>IF(AVERAGEA(F35:Q35)&lt;0.002,"&lt;0.002",AVERAGEA(F35:Q35))</f>
        <v>&lt;0.002</v>
      </c>
      <c r="U35" s="578"/>
      <c r="V35" s="2"/>
    </row>
    <row r="36" spans="2:22" ht="12" customHeight="1" x14ac:dyDescent="0.15">
      <c r="B36" s="19">
        <f t="shared" si="0"/>
        <v>23</v>
      </c>
      <c r="C36" s="592" t="s">
        <v>171</v>
      </c>
      <c r="D36" s="593"/>
      <c r="E36" s="11" t="s">
        <v>113</v>
      </c>
      <c r="F36" s="175">
        <v>1E-3</v>
      </c>
      <c r="G36" s="179">
        <v>3.0000000000000001E-3</v>
      </c>
      <c r="H36" s="265">
        <v>4.0000000000000001E-3</v>
      </c>
      <c r="I36" s="179">
        <v>7.0000000000000001E-3</v>
      </c>
      <c r="J36" s="179">
        <v>7.0000000000000001E-3</v>
      </c>
      <c r="K36" s="179">
        <v>4.0000000000000001E-3</v>
      </c>
      <c r="L36" s="179">
        <v>1.2999999999999999E-2</v>
      </c>
      <c r="M36" s="179">
        <v>5.0000000000000001E-3</v>
      </c>
      <c r="N36" s="179">
        <v>2E-3</v>
      </c>
      <c r="O36" s="179" t="s">
        <v>612</v>
      </c>
      <c r="P36" s="179" t="s">
        <v>566</v>
      </c>
      <c r="Q36" s="393">
        <v>1E-3</v>
      </c>
      <c r="R36" s="239">
        <f>IF(MAXA(F36:Q36)&lt;0.001,"&lt;0.001",MAXA(F36:Q36))</f>
        <v>1.2999999999999999E-2</v>
      </c>
      <c r="S36" s="179" t="str">
        <f>IF(MINA(F36:Q36)&lt;0.001,"&lt;0.001",MINA(F36:Q36))</f>
        <v>&lt;0.001</v>
      </c>
      <c r="T36" s="393">
        <f>IF(AVERAGEA(F36:Q36)&lt;0.001,"&lt;0.001",AVERAGEA(F36:Q36))</f>
        <v>3.9166666666666664E-3</v>
      </c>
      <c r="U36" s="578"/>
      <c r="V36" s="2"/>
    </row>
    <row r="37" spans="2:22" ht="12" customHeight="1" x14ac:dyDescent="0.15">
      <c r="B37" s="19">
        <f t="shared" si="0"/>
        <v>24</v>
      </c>
      <c r="C37" s="592" t="s">
        <v>38</v>
      </c>
      <c r="D37" s="593"/>
      <c r="E37" s="11" t="s">
        <v>112</v>
      </c>
      <c r="F37" s="175" t="s">
        <v>608</v>
      </c>
      <c r="G37" s="179">
        <v>4.0000000000000001E-3</v>
      </c>
      <c r="H37" s="265">
        <v>5.0000000000000001E-3</v>
      </c>
      <c r="I37" s="179">
        <v>8.0000000000000002E-3</v>
      </c>
      <c r="J37" s="179">
        <v>6.0000000000000001E-3</v>
      </c>
      <c r="K37" s="179">
        <v>4.0000000000000001E-3</v>
      </c>
      <c r="L37" s="179">
        <v>1.0999999999999999E-2</v>
      </c>
      <c r="M37" s="179">
        <v>6.0000000000000001E-3</v>
      </c>
      <c r="N37" s="179" t="s">
        <v>323</v>
      </c>
      <c r="O37" s="265" t="s">
        <v>564</v>
      </c>
      <c r="P37" s="265" t="s">
        <v>564</v>
      </c>
      <c r="Q37" s="393" t="s">
        <v>323</v>
      </c>
      <c r="R37" s="239">
        <f>IF(MAXA(F37:Q37)&lt;0.003,"&lt;0.003",MAXA(F37:Q37))</f>
        <v>1.0999999999999999E-2</v>
      </c>
      <c r="S37" s="179" t="str">
        <f>IF(MINA(F37:Q37)&lt;0.003,"&lt;0.003",MINA(F37:Q37))</f>
        <v>&lt;0.003</v>
      </c>
      <c r="T37" s="393">
        <f>IF(AVERAGEA(F37:Q37)&lt;0.003,"&lt;0.003",AVERAGEA(F37:Q37))</f>
        <v>3.6666666666666666E-3</v>
      </c>
      <c r="U37" s="578"/>
      <c r="V37" s="2"/>
    </row>
    <row r="38" spans="2:22" ht="12" customHeight="1" x14ac:dyDescent="0.15">
      <c r="B38" s="19">
        <f t="shared" si="0"/>
        <v>25</v>
      </c>
      <c r="C38" s="592" t="s">
        <v>192</v>
      </c>
      <c r="D38" s="593"/>
      <c r="E38" s="11" t="s">
        <v>90</v>
      </c>
      <c r="F38" s="175">
        <v>1E-3</v>
      </c>
      <c r="G38" s="179">
        <v>1E-3</v>
      </c>
      <c r="H38" s="265">
        <v>1E-3</v>
      </c>
      <c r="I38" s="179">
        <v>2E-3</v>
      </c>
      <c r="J38" s="179">
        <v>1E-3</v>
      </c>
      <c r="K38" s="179">
        <v>3.0000000000000001E-3</v>
      </c>
      <c r="L38" s="179">
        <v>1E-3</v>
      </c>
      <c r="M38" s="179">
        <v>1E-3</v>
      </c>
      <c r="N38" s="179">
        <v>2E-3</v>
      </c>
      <c r="O38" s="179">
        <v>1E-3</v>
      </c>
      <c r="P38" s="179">
        <v>1E-3</v>
      </c>
      <c r="Q38" s="393">
        <v>1E-3</v>
      </c>
      <c r="R38" s="179">
        <f>IF(MAXA(F38:Q38)&lt;0.001,"&lt;0.001",MAXA(F38:Q38))</f>
        <v>3.0000000000000001E-3</v>
      </c>
      <c r="S38" s="179">
        <f>IF(MINA(F38:Q38)&lt;0.001,"&lt;0.001",MINA(F38:Q38))</f>
        <v>1E-3</v>
      </c>
      <c r="T38" s="393">
        <f>IF(AVERAGEA(F38:Q38)&lt;0.001,"&lt;0.001",AVERAGEA(F38:Q38))</f>
        <v>1.3333333333333337E-3</v>
      </c>
      <c r="U38" s="578"/>
      <c r="V38" s="2"/>
    </row>
    <row r="39" spans="2:22" ht="12" customHeight="1" x14ac:dyDescent="0.15">
      <c r="B39" s="19">
        <f t="shared" si="0"/>
        <v>26</v>
      </c>
      <c r="C39" s="592" t="s">
        <v>39</v>
      </c>
      <c r="D39" s="593"/>
      <c r="E39" s="11" t="s">
        <v>93</v>
      </c>
      <c r="F39" s="175" t="s">
        <v>579</v>
      </c>
      <c r="G39" s="179" t="s">
        <v>579</v>
      </c>
      <c r="H39" s="179" t="s">
        <v>306</v>
      </c>
      <c r="I39" s="179" t="s">
        <v>306</v>
      </c>
      <c r="J39" s="179" t="s">
        <v>306</v>
      </c>
      <c r="K39" s="179" t="s">
        <v>306</v>
      </c>
      <c r="L39" s="179" t="s">
        <v>306</v>
      </c>
      <c r="M39" s="179" t="s">
        <v>306</v>
      </c>
      <c r="N39" s="179" t="s">
        <v>306</v>
      </c>
      <c r="O39" s="179" t="s">
        <v>306</v>
      </c>
      <c r="P39" s="179" t="s">
        <v>306</v>
      </c>
      <c r="Q39" s="393" t="s">
        <v>306</v>
      </c>
      <c r="R39" s="239" t="str">
        <f>IF(MAXA(F39:Q39)&lt;0.001,"&lt;0.001",MAXA(F39:Q39))</f>
        <v>&lt;0.001</v>
      </c>
      <c r="S39" s="179" t="str">
        <f>IF(MINA(F39:Q39)&lt;0.001,"&lt;0.001",MINA(F39:Q39))</f>
        <v>&lt;0.001</v>
      </c>
      <c r="T39" s="393" t="str">
        <f>IF(AVERAGEA(F39:Q39)&lt;0.001,"&lt;0.001",AVERAGEA(F39:Q39))</f>
        <v>&lt;0.001</v>
      </c>
      <c r="U39" s="578"/>
      <c r="V39" s="2"/>
    </row>
    <row r="40" spans="2:22" ht="12" customHeight="1" x14ac:dyDescent="0.15">
      <c r="B40" s="19">
        <f t="shared" si="0"/>
        <v>27</v>
      </c>
      <c r="C40" s="592" t="s">
        <v>40</v>
      </c>
      <c r="D40" s="593"/>
      <c r="E40" s="11" t="s">
        <v>90</v>
      </c>
      <c r="F40" s="175" t="s">
        <v>565</v>
      </c>
      <c r="G40" s="179">
        <v>6.0000000000000001E-3</v>
      </c>
      <c r="H40" s="265">
        <v>8.0000000000000002E-3</v>
      </c>
      <c r="I40" s="179">
        <v>1.4E-2</v>
      </c>
      <c r="J40" s="179">
        <v>1.2E-2</v>
      </c>
      <c r="K40" s="179">
        <v>1.0999999999999999E-2</v>
      </c>
      <c r="L40" s="179">
        <v>1.9E-2</v>
      </c>
      <c r="M40" s="179">
        <v>0.01</v>
      </c>
      <c r="N40" s="179">
        <v>6.0000000000000001E-3</v>
      </c>
      <c r="O40" s="179" t="s">
        <v>614</v>
      </c>
      <c r="P40" s="179" t="s">
        <v>565</v>
      </c>
      <c r="Q40" s="393">
        <v>4.0000000000000001E-3</v>
      </c>
      <c r="R40" s="239">
        <f>IF(MAXA(F40:Q40)&lt;0.001,"&lt;0.001",MAXA(F40:Q40))</f>
        <v>1.9E-2</v>
      </c>
      <c r="S40" s="179" t="str">
        <f>IF(MINA(F40:Q40)&lt;0.001,"&lt;0.001",MINA(F40:Q40))</f>
        <v>&lt;0.001</v>
      </c>
      <c r="T40" s="393">
        <f>IF(AVERAGEA(F40:Q40)&lt;0.001,"&lt;0.001",AVERAGEA(F40:Q40))</f>
        <v>7.5000000000000006E-3</v>
      </c>
      <c r="U40" s="578"/>
      <c r="V40" s="2"/>
    </row>
    <row r="41" spans="2:22" ht="12" customHeight="1" x14ac:dyDescent="0.15">
      <c r="B41" s="19">
        <f t="shared" si="0"/>
        <v>28</v>
      </c>
      <c r="C41" s="592" t="s">
        <v>41</v>
      </c>
      <c r="D41" s="593"/>
      <c r="E41" s="11" t="s">
        <v>112</v>
      </c>
      <c r="F41" s="175" t="s">
        <v>323</v>
      </c>
      <c r="G41" s="179" t="s">
        <v>323</v>
      </c>
      <c r="H41" s="265" t="s">
        <v>323</v>
      </c>
      <c r="I41" s="179">
        <v>5.0000000000000001E-3</v>
      </c>
      <c r="J41" s="179">
        <v>4.0000000000000001E-3</v>
      </c>
      <c r="K41" s="179" t="s">
        <v>323</v>
      </c>
      <c r="L41" s="179">
        <v>8.0000000000000002E-3</v>
      </c>
      <c r="M41" s="265">
        <v>6.0000000000000001E-3</v>
      </c>
      <c r="N41" s="265" t="s">
        <v>323</v>
      </c>
      <c r="O41" s="265" t="s">
        <v>613</v>
      </c>
      <c r="P41" s="265" t="s">
        <v>323</v>
      </c>
      <c r="Q41" s="393" t="s">
        <v>323</v>
      </c>
      <c r="R41" s="179">
        <f>IF(MAXA(F41:Q41)&lt;0.003,"&lt;0.003",MAXA(F41:Q41))</f>
        <v>8.0000000000000002E-3</v>
      </c>
      <c r="S41" s="179" t="str">
        <f>IF(MINA(F41:Q41)&lt;0.003,"&lt;0.003",MINA(F41:Q41))</f>
        <v>&lt;0.003</v>
      </c>
      <c r="T41" s="393" t="str">
        <f>IF(AVERAGEA(F41:Q41)&lt;0.003,"&lt;0.003",AVERAGEA(F41:Q41))</f>
        <v>&lt;0.003</v>
      </c>
      <c r="U41" s="578"/>
      <c r="V41" s="2"/>
    </row>
    <row r="42" spans="2:22" ht="12" customHeight="1" x14ac:dyDescent="0.15">
      <c r="B42" s="19">
        <f t="shared" si="0"/>
        <v>29</v>
      </c>
      <c r="C42" s="592" t="s">
        <v>193</v>
      </c>
      <c r="D42" s="593"/>
      <c r="E42" s="11" t="s">
        <v>112</v>
      </c>
      <c r="F42" s="175">
        <v>1E-3</v>
      </c>
      <c r="G42" s="179">
        <v>2E-3</v>
      </c>
      <c r="H42" s="265">
        <v>3.0000000000000001E-3</v>
      </c>
      <c r="I42" s="179">
        <v>5.0000000000000001E-3</v>
      </c>
      <c r="J42" s="265">
        <v>4.0000000000000001E-3</v>
      </c>
      <c r="K42" s="265">
        <v>4.0000000000000001E-3</v>
      </c>
      <c r="L42" s="179">
        <v>5.0000000000000001E-3</v>
      </c>
      <c r="M42" s="179">
        <v>4.0000000000000001E-3</v>
      </c>
      <c r="N42" s="179">
        <v>2E-3</v>
      </c>
      <c r="O42" s="179">
        <v>1E-3</v>
      </c>
      <c r="P42" s="179">
        <v>1E-3</v>
      </c>
      <c r="Q42" s="393">
        <v>2E-3</v>
      </c>
      <c r="R42" s="239">
        <f>IF(MAXA(F42:Q42)&lt;0.001,"&lt;0.001",MAXA(F42:Q42))</f>
        <v>5.0000000000000001E-3</v>
      </c>
      <c r="S42" s="179">
        <f>IF(MINA(F42:Q42)&lt;0.001,"&lt;0.001",MINA(F42:Q42))</f>
        <v>1E-3</v>
      </c>
      <c r="T42" s="393">
        <f>IF(AVERAGEA(F42:Q42)&lt;0.001,"&lt;0.001",AVERAGEA(F42:Q42))</f>
        <v>2.8333333333333335E-3</v>
      </c>
      <c r="U42" s="578"/>
      <c r="V42" s="2"/>
    </row>
    <row r="43" spans="2:22" ht="12" customHeight="1" x14ac:dyDescent="0.15">
      <c r="B43" s="19">
        <f t="shared" si="0"/>
        <v>30</v>
      </c>
      <c r="C43" s="592" t="s">
        <v>194</v>
      </c>
      <c r="D43" s="593"/>
      <c r="E43" s="11" t="s">
        <v>115</v>
      </c>
      <c r="F43" s="175" t="s">
        <v>306</v>
      </c>
      <c r="G43" s="179" t="s">
        <v>306</v>
      </c>
      <c r="H43" s="265" t="s">
        <v>306</v>
      </c>
      <c r="I43" s="179" t="s">
        <v>306</v>
      </c>
      <c r="J43" s="179" t="s">
        <v>306</v>
      </c>
      <c r="K43" s="179" t="s">
        <v>306</v>
      </c>
      <c r="L43" s="179" t="s">
        <v>306</v>
      </c>
      <c r="M43" s="179" t="s">
        <v>306</v>
      </c>
      <c r="N43" s="179" t="s">
        <v>306</v>
      </c>
      <c r="O43" s="179" t="s">
        <v>306</v>
      </c>
      <c r="P43" s="179" t="s">
        <v>306</v>
      </c>
      <c r="Q43" s="397" t="s">
        <v>306</v>
      </c>
      <c r="R43" s="239" t="str">
        <f>IF(MAXA(F43:Q43)&lt;0.001,"&lt;0.001",MAXA(F43:Q43))</f>
        <v>&lt;0.001</v>
      </c>
      <c r="S43" s="179" t="str">
        <f>IF(MINA(F43:Q43)&lt;0.001,"&lt;0.001",MINA(F43:Q43))</f>
        <v>&lt;0.001</v>
      </c>
      <c r="T43" s="393" t="str">
        <f>IF(AVERAGEA(F43:Q43)&lt;0.001,"&lt;0.001",AVERAGEA(F43:Q43))</f>
        <v>&lt;0.001</v>
      </c>
      <c r="U43" s="578"/>
      <c r="V43" s="2"/>
    </row>
    <row r="44" spans="2:22" ht="12" customHeight="1" x14ac:dyDescent="0.15">
      <c r="B44" s="19">
        <f t="shared" si="0"/>
        <v>31</v>
      </c>
      <c r="C44" s="592" t="s">
        <v>195</v>
      </c>
      <c r="D44" s="593"/>
      <c r="E44" s="11" t="s">
        <v>116</v>
      </c>
      <c r="F44" s="175" t="s">
        <v>321</v>
      </c>
      <c r="G44" s="179" t="s">
        <v>321</v>
      </c>
      <c r="H44" s="179" t="s">
        <v>321</v>
      </c>
      <c r="I44" s="179" t="s">
        <v>321</v>
      </c>
      <c r="J44" s="179" t="s">
        <v>321</v>
      </c>
      <c r="K44" s="179" t="s">
        <v>321</v>
      </c>
      <c r="L44" s="179" t="s">
        <v>321</v>
      </c>
      <c r="M44" s="179" t="s">
        <v>321</v>
      </c>
      <c r="N44" s="179" t="s">
        <v>321</v>
      </c>
      <c r="O44" s="179" t="s">
        <v>321</v>
      </c>
      <c r="P44" s="179" t="s">
        <v>321</v>
      </c>
      <c r="Q44" s="393" t="s">
        <v>321</v>
      </c>
      <c r="R44" s="239" t="str">
        <f>IF(MAXA(F44:Q44)&lt;0.008,"&lt;0.008",MAXA(F44:Q44))</f>
        <v>&lt;0.008</v>
      </c>
      <c r="S44" s="179" t="str">
        <f>IF(MINA(F44:Q44)&lt;0.008,"&lt;0.008",MINA(F44:Q44))</f>
        <v>&lt;0.008</v>
      </c>
      <c r="T44" s="393" t="str">
        <f>IF(AVERAGEA(F44:Q44)&lt;0.008,"&lt;0.008",AVERAGEA(F44:Q44))</f>
        <v>&lt;0.008</v>
      </c>
      <c r="U44" s="596"/>
      <c r="V44" s="2"/>
    </row>
    <row r="45" spans="2:22" ht="12" customHeight="1" x14ac:dyDescent="0.15">
      <c r="B45" s="19">
        <f t="shared" si="0"/>
        <v>32</v>
      </c>
      <c r="C45" s="592" t="s">
        <v>42</v>
      </c>
      <c r="D45" s="593"/>
      <c r="E45" s="11" t="s">
        <v>110</v>
      </c>
      <c r="F45" s="200" t="s">
        <v>313</v>
      </c>
      <c r="G45" s="178"/>
      <c r="H45" s="268"/>
      <c r="I45" s="178" t="s">
        <v>313</v>
      </c>
      <c r="J45" s="178"/>
      <c r="K45" s="178"/>
      <c r="L45" s="178" t="s">
        <v>313</v>
      </c>
      <c r="M45" s="178"/>
      <c r="N45" s="178"/>
      <c r="O45" s="178" t="s">
        <v>313</v>
      </c>
      <c r="P45" s="178"/>
      <c r="Q45" s="396"/>
      <c r="R45" s="178" t="str">
        <f>IF(MAXA(F45:Q45)&lt;0.01,"&lt;0.01",MAXA(F45:Q45))</f>
        <v>&lt;0.01</v>
      </c>
      <c r="S45" s="178" t="str">
        <f>IF(MINA(F45:Q45)&lt;0.01,"&lt;0.01",MINA(F45:Q45))</f>
        <v>&lt;0.01</v>
      </c>
      <c r="T45" s="396" t="str">
        <f>IF(AVERAGEA(F45:Q45)&lt;0.01,"&lt;0.01",AVERAGEA(F45:Q45))</f>
        <v>&lt;0.01</v>
      </c>
      <c r="U45" s="594" t="s">
        <v>60</v>
      </c>
      <c r="V45" s="2"/>
    </row>
    <row r="46" spans="2:22" ht="12" customHeight="1" x14ac:dyDescent="0.15">
      <c r="B46" s="19">
        <f t="shared" si="0"/>
        <v>33</v>
      </c>
      <c r="C46" s="592" t="s">
        <v>43</v>
      </c>
      <c r="D46" s="593"/>
      <c r="E46" s="11" t="s">
        <v>89</v>
      </c>
      <c r="F46" s="175" t="s">
        <v>313</v>
      </c>
      <c r="G46" s="178"/>
      <c r="H46" s="268"/>
      <c r="I46" s="178">
        <v>0.03</v>
      </c>
      <c r="J46" s="178"/>
      <c r="K46" s="178"/>
      <c r="L46" s="178">
        <v>0.01</v>
      </c>
      <c r="M46" s="178"/>
      <c r="N46" s="178"/>
      <c r="O46" s="178" t="s">
        <v>313</v>
      </c>
      <c r="P46" s="178"/>
      <c r="Q46" s="396"/>
      <c r="R46" s="178">
        <f>IF(MAXA(F46:Q46)&lt;0.01,"&lt;0.01",MAXA(F46:Q46))</f>
        <v>0.03</v>
      </c>
      <c r="S46" s="178" t="str">
        <f>IF(MINA(F46:Q46)&lt;0.01,"&lt;0.01",MINA(F46:Q46))</f>
        <v>&lt;0.01</v>
      </c>
      <c r="T46" s="396">
        <f>IF(AVERAGEA(F46:Q46)&lt;0.01,"&lt;0.01",AVERAGEA(F46:Q46))</f>
        <v>0.01</v>
      </c>
      <c r="U46" s="578"/>
      <c r="V46" s="2"/>
    </row>
    <row r="47" spans="2:22" ht="12" customHeight="1" x14ac:dyDescent="0.15">
      <c r="B47" s="19">
        <f t="shared" si="0"/>
        <v>34</v>
      </c>
      <c r="C47" s="592" t="s">
        <v>44</v>
      </c>
      <c r="D47" s="593"/>
      <c r="E47" s="11" t="s">
        <v>95</v>
      </c>
      <c r="F47" s="175" t="s">
        <v>324</v>
      </c>
      <c r="G47" s="178"/>
      <c r="H47" s="268"/>
      <c r="I47" s="179" t="s">
        <v>324</v>
      </c>
      <c r="J47" s="178"/>
      <c r="K47" s="178"/>
      <c r="L47" s="179" t="s">
        <v>324</v>
      </c>
      <c r="M47" s="178"/>
      <c r="N47" s="178"/>
      <c r="O47" s="179" t="s">
        <v>324</v>
      </c>
      <c r="P47" s="178"/>
      <c r="Q47" s="396"/>
      <c r="R47" s="179" t="str">
        <f>IF(MAXA(F47:Q47)&lt;0.03,"&lt;0.03",MAXA(F47:Q47))</f>
        <v>&lt;0.03</v>
      </c>
      <c r="S47" s="178" t="str">
        <f>IF(MINA(F47:Q47)&lt;0.03,"&lt;0.03",MINA(F47:Q47))</f>
        <v>&lt;0.03</v>
      </c>
      <c r="T47" s="393" t="str">
        <f>IF(AVERAGEA(F47:Q47)&lt;0.03,"&lt;0.03",AVERAGEA(F47:Q47))</f>
        <v>&lt;0.03</v>
      </c>
      <c r="U47" s="578"/>
      <c r="V47" s="2"/>
    </row>
    <row r="48" spans="2:22" ht="12" customHeight="1" x14ac:dyDescent="0.15">
      <c r="B48" s="19">
        <f t="shared" si="0"/>
        <v>35</v>
      </c>
      <c r="C48" s="592" t="s">
        <v>45</v>
      </c>
      <c r="D48" s="593"/>
      <c r="E48" s="11" t="s">
        <v>110</v>
      </c>
      <c r="F48" s="200" t="s">
        <v>313</v>
      </c>
      <c r="G48" s="178"/>
      <c r="H48" s="268"/>
      <c r="I48" s="178" t="s">
        <v>313</v>
      </c>
      <c r="J48" s="178"/>
      <c r="K48" s="178"/>
      <c r="L48" s="178" t="s">
        <v>313</v>
      </c>
      <c r="M48" s="178"/>
      <c r="N48" s="178"/>
      <c r="O48" s="178" t="s">
        <v>313</v>
      </c>
      <c r="P48" s="178"/>
      <c r="Q48" s="396"/>
      <c r="R48" s="178" t="str">
        <f>IF(MAXA(F48:Q48)&lt;0.01,"&lt;0.01",MAXA(F48:Q48))</f>
        <v>&lt;0.01</v>
      </c>
      <c r="S48" s="178" t="str">
        <f>IF(MINA(F48:Q48)&lt;0.01,"&lt;0.01",MINA(F48:Q48))</f>
        <v>&lt;0.01</v>
      </c>
      <c r="T48" s="396" t="str">
        <f>IF(AVERAGEA(F48:Q48)&lt;0.01,"&lt;0.01",AVERAGEA(F48:Q48))</f>
        <v>&lt;0.01</v>
      </c>
      <c r="U48" s="578"/>
      <c r="V48" s="2"/>
    </row>
    <row r="49" spans="2:22" ht="12" customHeight="1" x14ac:dyDescent="0.15">
      <c r="B49" s="19">
        <f t="shared" si="0"/>
        <v>36</v>
      </c>
      <c r="C49" s="592" t="s">
        <v>46</v>
      </c>
      <c r="D49" s="593"/>
      <c r="E49" s="11" t="s">
        <v>65</v>
      </c>
      <c r="F49" s="211">
        <v>9.6999999999999993</v>
      </c>
      <c r="G49" s="91"/>
      <c r="H49" s="269"/>
      <c r="I49" s="234">
        <v>12</v>
      </c>
      <c r="J49" s="91"/>
      <c r="K49" s="91"/>
      <c r="L49" s="234">
        <v>14</v>
      </c>
      <c r="M49" s="91"/>
      <c r="N49" s="91"/>
      <c r="O49" s="234">
        <v>11</v>
      </c>
      <c r="P49" s="91"/>
      <c r="Q49" s="395"/>
      <c r="R49" s="234">
        <f>IF(MAXA(F49:Q49)&lt;0.5,"&lt;0.5",MAXA(F49:Q49))</f>
        <v>14</v>
      </c>
      <c r="S49" s="234">
        <f>IF(MINA(F49:Q49)&lt;0.5,"&lt;0.5",MINA(F49:Q49))</f>
        <v>9.6999999999999993</v>
      </c>
      <c r="T49" s="392">
        <f>IF(AVERAGEA(F49:Q49)&lt;0.5,"&lt;0.5",AVERAGEA(F49:Q49))</f>
        <v>11.675000000000001</v>
      </c>
      <c r="U49" s="578"/>
      <c r="V49" s="2"/>
    </row>
    <row r="50" spans="2:22" ht="12" customHeight="1" x14ac:dyDescent="0.15">
      <c r="B50" s="19">
        <f t="shared" si="0"/>
        <v>37</v>
      </c>
      <c r="C50" s="592" t="s">
        <v>47</v>
      </c>
      <c r="D50" s="593"/>
      <c r="E50" s="11" t="s">
        <v>107</v>
      </c>
      <c r="F50" s="175" t="s">
        <v>306</v>
      </c>
      <c r="G50" s="179"/>
      <c r="H50" s="265"/>
      <c r="I50" s="179" t="s">
        <v>306</v>
      </c>
      <c r="J50" s="179"/>
      <c r="K50" s="179"/>
      <c r="L50" s="179" t="s">
        <v>306</v>
      </c>
      <c r="M50" s="179"/>
      <c r="N50" s="179"/>
      <c r="O50" s="179" t="s">
        <v>306</v>
      </c>
      <c r="P50" s="179"/>
      <c r="Q50" s="393"/>
      <c r="R50" s="239" t="str">
        <f>IF(MAXA(F50:Q50)&lt;0.001,"&lt;0.001",MAXA(F50:Q50))</f>
        <v>&lt;0.001</v>
      </c>
      <c r="S50" s="179" t="str">
        <f>IF(MINA(F50:Q50)&lt;0.001,"&lt;0.001",MINA(F50:Q50))</f>
        <v>&lt;0.001</v>
      </c>
      <c r="T50" s="393" t="str">
        <f>IF(AVERAGEA(F50:Q50)&lt;0.001,"&lt;0.001",AVERAGEA(F50:Q50))</f>
        <v>&lt;0.001</v>
      </c>
      <c r="U50" s="596"/>
      <c r="V50" s="2"/>
    </row>
    <row r="51" spans="2:22" ht="12" customHeight="1" x14ac:dyDescent="0.15">
      <c r="B51" s="19">
        <f t="shared" si="0"/>
        <v>38</v>
      </c>
      <c r="C51" s="592" t="s">
        <v>48</v>
      </c>
      <c r="D51" s="593"/>
      <c r="E51" s="11" t="s">
        <v>65</v>
      </c>
      <c r="F51" s="182">
        <v>13</v>
      </c>
      <c r="G51" s="234">
        <v>12</v>
      </c>
      <c r="H51" s="264">
        <v>11</v>
      </c>
      <c r="I51" s="234">
        <v>10</v>
      </c>
      <c r="J51" s="234">
        <v>11</v>
      </c>
      <c r="K51" s="234">
        <v>15</v>
      </c>
      <c r="L51" s="234">
        <v>12</v>
      </c>
      <c r="M51" s="234">
        <v>12</v>
      </c>
      <c r="N51" s="234">
        <v>15</v>
      </c>
      <c r="O51" s="234">
        <v>16</v>
      </c>
      <c r="P51" s="234">
        <v>16</v>
      </c>
      <c r="Q51" s="392">
        <v>15</v>
      </c>
      <c r="R51" s="234">
        <f>IF(MAXA(F51:Q51)&lt;0.1,"&lt;0.1",MAXA(F51:Q51))</f>
        <v>16</v>
      </c>
      <c r="S51" s="234">
        <f>IF(MINA(F51:Q51)&lt;0.1,"&lt;0.1",MINA(F51:Q51))</f>
        <v>10</v>
      </c>
      <c r="T51" s="392">
        <f>IF(AVERAGEA(F51:Q51)&lt;0.1,"&lt;0.1",AVERAGEA(F51:Q51))</f>
        <v>13.166666666666666</v>
      </c>
      <c r="U51" s="9" t="s">
        <v>499</v>
      </c>
      <c r="V51" s="2"/>
    </row>
    <row r="52" spans="2:22" ht="12" customHeight="1" x14ac:dyDescent="0.15">
      <c r="B52" s="19">
        <f t="shared" si="0"/>
        <v>39</v>
      </c>
      <c r="C52" s="592" t="s">
        <v>49</v>
      </c>
      <c r="D52" s="593"/>
      <c r="E52" s="11" t="s">
        <v>66</v>
      </c>
      <c r="F52" s="182">
        <v>21</v>
      </c>
      <c r="G52" s="234"/>
      <c r="H52" s="264"/>
      <c r="I52" s="234">
        <v>25</v>
      </c>
      <c r="J52" s="234"/>
      <c r="K52" s="234"/>
      <c r="L52" s="234">
        <v>29</v>
      </c>
      <c r="M52" s="234"/>
      <c r="N52" s="234"/>
      <c r="O52" s="234">
        <v>27</v>
      </c>
      <c r="P52" s="234"/>
      <c r="Q52" s="392"/>
      <c r="R52" s="234">
        <f>IF(MAXA(F52:Q52)&lt;3,"&lt;3",MAXA(F52:Q52))</f>
        <v>29</v>
      </c>
      <c r="S52" s="234">
        <f>IF(MINA(F52:Q52)&lt;3,"&lt;3",MINA(F52:Q52))</f>
        <v>21</v>
      </c>
      <c r="T52" s="392">
        <f>IF(AVERAGEA(F52:Q52)&lt;3,"&lt;3",AVERAGEA(F52:Q52))</f>
        <v>25.5</v>
      </c>
      <c r="U52" s="594" t="s">
        <v>500</v>
      </c>
      <c r="V52" s="2"/>
    </row>
    <row r="53" spans="2:22" ht="12" customHeight="1" x14ac:dyDescent="0.15">
      <c r="B53" s="19">
        <f t="shared" si="0"/>
        <v>40</v>
      </c>
      <c r="C53" s="592" t="s">
        <v>50</v>
      </c>
      <c r="D53" s="593"/>
      <c r="E53" s="11" t="s">
        <v>67</v>
      </c>
      <c r="F53" s="182">
        <v>60</v>
      </c>
      <c r="G53" s="234"/>
      <c r="H53" s="264"/>
      <c r="I53" s="234">
        <v>72</v>
      </c>
      <c r="J53" s="234"/>
      <c r="K53" s="234"/>
      <c r="L53" s="234">
        <v>76</v>
      </c>
      <c r="M53" s="234"/>
      <c r="N53" s="234"/>
      <c r="O53" s="234">
        <v>66</v>
      </c>
      <c r="P53" s="234"/>
      <c r="Q53" s="392"/>
      <c r="R53" s="234">
        <f>IF(MAXA(F53:Q53)&lt;1,"&lt;1",MAXA(F53:Q53))</f>
        <v>76</v>
      </c>
      <c r="S53" s="234">
        <f>IF(MINA(F53:Q53)&lt;1,"&lt;1",MINA(F53:Q53))</f>
        <v>60</v>
      </c>
      <c r="T53" s="392">
        <f>IF(AVERAGEA(F53:Q53)&lt;1,"&lt;1",AVERAGEA(F53:Q53))</f>
        <v>68.5</v>
      </c>
      <c r="U53" s="596"/>
      <c r="V53" s="2"/>
    </row>
    <row r="54" spans="2:22" ht="12" customHeight="1" x14ac:dyDescent="0.15">
      <c r="B54" s="19">
        <f t="shared" si="0"/>
        <v>41</v>
      </c>
      <c r="C54" s="592" t="s">
        <v>51</v>
      </c>
      <c r="D54" s="593"/>
      <c r="E54" s="11" t="s">
        <v>89</v>
      </c>
      <c r="F54" s="200" t="s">
        <v>314</v>
      </c>
      <c r="G54" s="178"/>
      <c r="H54" s="268"/>
      <c r="I54" s="178" t="s">
        <v>314</v>
      </c>
      <c r="J54" s="178"/>
      <c r="K54" s="178"/>
      <c r="L54" s="178" t="s">
        <v>314</v>
      </c>
      <c r="M54" s="178"/>
      <c r="N54" s="178"/>
      <c r="O54" s="178" t="s">
        <v>314</v>
      </c>
      <c r="P54" s="178"/>
      <c r="Q54" s="396"/>
      <c r="R54" s="178" t="str">
        <f>IF(MAXA(F54:Q54)&lt;0.02,"&lt;0.02",MAXA(F54:Q54))</f>
        <v>&lt;0.02</v>
      </c>
      <c r="S54" s="178" t="str">
        <f>IF(MINA(F54:Q54)&lt;0.02,"&lt;0.02",MINA(F54:Q54))</f>
        <v>&lt;0.02</v>
      </c>
      <c r="T54" s="396" t="str">
        <f>IF(AVERAGEA(F54:Q54)&lt;0.02,"&lt;0.02",AVERAGEA(F54:Q54))</f>
        <v>&lt;0.02</v>
      </c>
      <c r="U54" s="594" t="s">
        <v>62</v>
      </c>
      <c r="V54" s="2"/>
    </row>
    <row r="55" spans="2:22" ht="12" customHeight="1" x14ac:dyDescent="0.15">
      <c r="B55" s="19">
        <f t="shared" si="0"/>
        <v>42</v>
      </c>
      <c r="C55" s="592" t="s">
        <v>246</v>
      </c>
      <c r="D55" s="593"/>
      <c r="E55" s="11" t="s">
        <v>117</v>
      </c>
      <c r="F55" s="181" t="s">
        <v>315</v>
      </c>
      <c r="G55" s="238">
        <v>9.9999999999999995E-7</v>
      </c>
      <c r="H55" s="299">
        <v>9.9999999999999995E-7</v>
      </c>
      <c r="I55" s="178" t="s">
        <v>315</v>
      </c>
      <c r="J55" s="178" t="s">
        <v>544</v>
      </c>
      <c r="K55" s="178" t="s">
        <v>544</v>
      </c>
      <c r="L55" s="238">
        <v>9.9999999999999995E-7</v>
      </c>
      <c r="M55" s="178" t="s">
        <v>544</v>
      </c>
      <c r="N55" s="178" t="s">
        <v>315</v>
      </c>
      <c r="O55" s="178" t="s">
        <v>315</v>
      </c>
      <c r="P55" s="178" t="s">
        <v>315</v>
      </c>
      <c r="Q55" s="492" t="s">
        <v>315</v>
      </c>
      <c r="R55" s="495">
        <f>IF(MAXA(F55:Q55)&lt;0.000001,"&lt;0.000001",MAXA(F55:Q55))</f>
        <v>9.9999999999999995E-7</v>
      </c>
      <c r="S55" s="238" t="str">
        <f>IF(MINA(F55:Q55)&lt;0.000001,"&lt;0.000001",MINA(F55:Q55))</f>
        <v>&lt;0.000001</v>
      </c>
      <c r="T55" s="492" t="str">
        <f>IF(AVERAGEA(F55:Q55)&lt;0.000001,"&lt;0.000001",AVERAGEA(F55:Q55))</f>
        <v>&lt;0.000001</v>
      </c>
      <c r="U55" s="578"/>
      <c r="V55" s="2"/>
    </row>
    <row r="56" spans="2:22" ht="12" customHeight="1" x14ac:dyDescent="0.15">
      <c r="B56" s="19">
        <f t="shared" si="0"/>
        <v>43</v>
      </c>
      <c r="C56" s="592" t="s">
        <v>247</v>
      </c>
      <c r="D56" s="593"/>
      <c r="E56" s="11" t="s">
        <v>117</v>
      </c>
      <c r="F56" s="181" t="s">
        <v>315</v>
      </c>
      <c r="G56" s="238" t="s">
        <v>315</v>
      </c>
      <c r="H56" s="238" t="s">
        <v>315</v>
      </c>
      <c r="I56" s="238" t="s">
        <v>315</v>
      </c>
      <c r="J56" s="238" t="s">
        <v>315</v>
      </c>
      <c r="K56" s="238" t="s">
        <v>315</v>
      </c>
      <c r="L56" s="238" t="s">
        <v>315</v>
      </c>
      <c r="M56" s="238" t="s">
        <v>315</v>
      </c>
      <c r="N56" s="238" t="s">
        <v>315</v>
      </c>
      <c r="O56" s="238" t="s">
        <v>315</v>
      </c>
      <c r="P56" s="238" t="s">
        <v>315</v>
      </c>
      <c r="Q56" s="492" t="s">
        <v>315</v>
      </c>
      <c r="R56" s="496" t="str">
        <f>IF(MAXA(F56:Q56)&lt;0.000001,"&lt;0.000001",MAXA(F56:Q56))</f>
        <v>&lt;0.000001</v>
      </c>
      <c r="S56" s="497" t="str">
        <f>IF(MINA(F56:Q56)&lt;0.000001,"&lt;0.000001",MINA(F56:Q56))</f>
        <v>&lt;0.000001</v>
      </c>
      <c r="T56" s="498" t="str">
        <f>IF(AVERAGEA(F56:Q56)&lt;0.000001,"&lt;0.000001",AVERAGEA(F56:Q56))</f>
        <v>&lt;0.000001</v>
      </c>
      <c r="U56" s="578"/>
      <c r="V56" s="2"/>
    </row>
    <row r="57" spans="2:22" ht="12" customHeight="1" x14ac:dyDescent="0.15">
      <c r="B57" s="19">
        <f t="shared" si="0"/>
        <v>44</v>
      </c>
      <c r="C57" s="592" t="s">
        <v>52</v>
      </c>
      <c r="D57" s="593"/>
      <c r="E57" s="11" t="s">
        <v>96</v>
      </c>
      <c r="F57" s="175" t="s">
        <v>312</v>
      </c>
      <c r="G57" s="179"/>
      <c r="H57" s="265"/>
      <c r="I57" s="179" t="s">
        <v>312</v>
      </c>
      <c r="J57" s="179"/>
      <c r="K57" s="179"/>
      <c r="L57" s="179" t="s">
        <v>312</v>
      </c>
      <c r="M57" s="179"/>
      <c r="N57" s="179"/>
      <c r="O57" s="179" t="s">
        <v>312</v>
      </c>
      <c r="P57" s="179"/>
      <c r="Q57" s="393"/>
      <c r="R57" s="239" t="str">
        <f>IF(MAXA(F57:Q57)&lt;0.005,"&lt;0.005",MAXA(F57:Q57))</f>
        <v>&lt;0.005</v>
      </c>
      <c r="S57" s="179" t="str">
        <f>IF(MINA(F57:Q57)&lt;0.005,"&lt;0.005",MINA(F57:Q57))</f>
        <v>&lt;0.005</v>
      </c>
      <c r="T57" s="393" t="str">
        <f>IF(AVERAGEA(F57:Q57)&lt;0.005,"&lt;0.005",AVERAGEA(F57:Q57))</f>
        <v>&lt;0.005</v>
      </c>
      <c r="U57" s="578"/>
      <c r="V57" s="2"/>
    </row>
    <row r="58" spans="2:22" ht="12" customHeight="1" x14ac:dyDescent="0.15">
      <c r="B58" s="19">
        <f t="shared" si="0"/>
        <v>45</v>
      </c>
      <c r="C58" s="592" t="s">
        <v>53</v>
      </c>
      <c r="D58" s="593"/>
      <c r="E58" s="11" t="s">
        <v>118</v>
      </c>
      <c r="F58" s="202" t="s">
        <v>316</v>
      </c>
      <c r="G58" s="237"/>
      <c r="H58" s="270"/>
      <c r="I58" s="237" t="s">
        <v>316</v>
      </c>
      <c r="J58" s="237"/>
      <c r="K58" s="237"/>
      <c r="L58" s="237" t="s">
        <v>316</v>
      </c>
      <c r="M58" s="237"/>
      <c r="N58" s="237"/>
      <c r="O58" s="237" t="s">
        <v>316</v>
      </c>
      <c r="P58" s="237"/>
      <c r="Q58" s="397"/>
      <c r="R58" s="278" t="str">
        <f>IF(MAXA(F58:Q58)&lt;0.0005,"&lt;0.0005",MAXA(F58:Q58))</f>
        <v>&lt;0.0005</v>
      </c>
      <c r="S58" s="237" t="str">
        <f>IF(MINA(F58:Q58)&lt;0.0005,"&lt;0.0005",MINA(F58:Q58))</f>
        <v>&lt;0.0005</v>
      </c>
      <c r="T58" s="397" t="str">
        <f>IF(AVERAGEA(F58:Q58)&lt;0.0005,"&lt;0.0005",AVERAGEA(F58:Q58))</f>
        <v>&lt;0.0005</v>
      </c>
      <c r="U58" s="596"/>
      <c r="V58" s="2"/>
    </row>
    <row r="59" spans="2:22" ht="12" customHeight="1" x14ac:dyDescent="0.15">
      <c r="B59" s="28">
        <f t="shared" si="0"/>
        <v>46</v>
      </c>
      <c r="C59" s="592" t="s">
        <v>128</v>
      </c>
      <c r="D59" s="593"/>
      <c r="E59" s="11" t="s">
        <v>97</v>
      </c>
      <c r="F59" s="196" t="s">
        <v>325</v>
      </c>
      <c r="G59" s="91" t="s">
        <v>325</v>
      </c>
      <c r="H59" s="269">
        <v>0.4</v>
      </c>
      <c r="I59" s="91">
        <v>0.6</v>
      </c>
      <c r="J59" s="269">
        <v>0.3</v>
      </c>
      <c r="K59" s="91">
        <v>0.3</v>
      </c>
      <c r="L59" s="91">
        <v>0.8</v>
      </c>
      <c r="M59" s="91">
        <v>0.5</v>
      </c>
      <c r="N59" s="91">
        <v>0.4</v>
      </c>
      <c r="O59" s="237" t="s">
        <v>325</v>
      </c>
      <c r="P59" s="237" t="s">
        <v>325</v>
      </c>
      <c r="Q59" s="395" t="s">
        <v>325</v>
      </c>
      <c r="R59" s="170">
        <f>IF(MAXA(F59:Q59)&lt;0.3,"&lt;0.3",MAXA(F59:Q59))</f>
        <v>0.8</v>
      </c>
      <c r="S59" s="91" t="str">
        <f>IF(MINA(F59:Q59)&lt;0.3,"&lt;0.3",MINA(F59:Q59))</f>
        <v>&lt;0.3</v>
      </c>
      <c r="T59" s="395" t="str">
        <f>IF(AVERAGEA(F59:Q59)&lt;0.3,"&lt;0.3",AVERAGEA(F59:Q59))</f>
        <v>&lt;0.3</v>
      </c>
      <c r="U59" s="594" t="s">
        <v>63</v>
      </c>
      <c r="V59" s="2"/>
    </row>
    <row r="60" spans="2:22" ht="12" customHeight="1" x14ac:dyDescent="0.15">
      <c r="B60" s="19">
        <f t="shared" si="0"/>
        <v>47</v>
      </c>
      <c r="C60" s="592" t="s">
        <v>54</v>
      </c>
      <c r="D60" s="593"/>
      <c r="E60" s="11" t="s">
        <v>68</v>
      </c>
      <c r="F60" s="196">
        <v>7.3</v>
      </c>
      <c r="G60" s="91">
        <v>7.5</v>
      </c>
      <c r="H60" s="269">
        <v>7.5</v>
      </c>
      <c r="I60" s="91">
        <v>7.4</v>
      </c>
      <c r="J60" s="269">
        <v>7.5</v>
      </c>
      <c r="K60" s="91">
        <v>7.4</v>
      </c>
      <c r="L60" s="91">
        <v>7.4</v>
      </c>
      <c r="M60" s="91">
        <v>7.4</v>
      </c>
      <c r="N60" s="91">
        <v>7.4</v>
      </c>
      <c r="O60" s="91">
        <v>7.4</v>
      </c>
      <c r="P60" s="91">
        <v>7.4</v>
      </c>
      <c r="Q60" s="395">
        <v>7.3</v>
      </c>
      <c r="R60" s="170">
        <f>MAX(F60:Q60)</f>
        <v>7.5</v>
      </c>
      <c r="S60" s="91">
        <f>MIN(F60:Q60)</f>
        <v>7.3</v>
      </c>
      <c r="T60" s="395">
        <f>AVERAGEA(F60:Q60)</f>
        <v>7.4083333333333341</v>
      </c>
      <c r="U60" s="578"/>
      <c r="V60" s="2"/>
    </row>
    <row r="61" spans="2:22" ht="12" customHeight="1" x14ac:dyDescent="0.15">
      <c r="B61" s="19">
        <f t="shared" si="0"/>
        <v>48</v>
      </c>
      <c r="C61" s="592" t="s">
        <v>55</v>
      </c>
      <c r="D61" s="593"/>
      <c r="E61" s="11" t="s">
        <v>121</v>
      </c>
      <c r="F61" s="182" t="s">
        <v>328</v>
      </c>
      <c r="G61" s="234" t="s">
        <v>328</v>
      </c>
      <c r="H61" s="264" t="s">
        <v>328</v>
      </c>
      <c r="I61" s="234" t="s">
        <v>328</v>
      </c>
      <c r="J61" s="264" t="s">
        <v>328</v>
      </c>
      <c r="K61" s="264" t="s">
        <v>328</v>
      </c>
      <c r="L61" s="234" t="s">
        <v>328</v>
      </c>
      <c r="M61" s="234" t="s">
        <v>604</v>
      </c>
      <c r="N61" s="234" t="s">
        <v>328</v>
      </c>
      <c r="O61" s="234" t="s">
        <v>328</v>
      </c>
      <c r="P61" s="234" t="s">
        <v>328</v>
      </c>
      <c r="Q61" s="392" t="s">
        <v>328</v>
      </c>
      <c r="R61" s="171"/>
      <c r="S61" s="234"/>
      <c r="T61" s="392"/>
      <c r="U61" s="578"/>
      <c r="V61" s="2"/>
    </row>
    <row r="62" spans="2:22" ht="12" customHeight="1" x14ac:dyDescent="0.15">
      <c r="B62" s="19">
        <f t="shared" si="0"/>
        <v>49</v>
      </c>
      <c r="C62" s="592" t="s">
        <v>56</v>
      </c>
      <c r="D62" s="593"/>
      <c r="E62" s="11" t="s">
        <v>121</v>
      </c>
      <c r="F62" s="182" t="s">
        <v>328</v>
      </c>
      <c r="G62" s="234" t="s">
        <v>328</v>
      </c>
      <c r="H62" s="264" t="s">
        <v>328</v>
      </c>
      <c r="I62" s="234" t="s">
        <v>328</v>
      </c>
      <c r="J62" s="264" t="s">
        <v>328</v>
      </c>
      <c r="K62" s="264" t="s">
        <v>328</v>
      </c>
      <c r="L62" s="234" t="s">
        <v>328</v>
      </c>
      <c r="M62" s="234" t="s">
        <v>604</v>
      </c>
      <c r="N62" s="234" t="s">
        <v>328</v>
      </c>
      <c r="O62" s="234" t="s">
        <v>328</v>
      </c>
      <c r="P62" s="234" t="s">
        <v>328</v>
      </c>
      <c r="Q62" s="392" t="s">
        <v>328</v>
      </c>
      <c r="R62" s="171"/>
      <c r="S62" s="234"/>
      <c r="T62" s="392"/>
      <c r="U62" s="578"/>
      <c r="V62" s="2"/>
    </row>
    <row r="63" spans="2:22" ht="12" customHeight="1" x14ac:dyDescent="0.15">
      <c r="B63" s="19">
        <f t="shared" si="0"/>
        <v>50</v>
      </c>
      <c r="C63" s="592" t="s">
        <v>57</v>
      </c>
      <c r="D63" s="593"/>
      <c r="E63" s="11" t="s">
        <v>119</v>
      </c>
      <c r="F63" s="196" t="s">
        <v>326</v>
      </c>
      <c r="G63" s="91" t="s">
        <v>326</v>
      </c>
      <c r="H63" s="269" t="s">
        <v>326</v>
      </c>
      <c r="I63" s="91">
        <v>0.7</v>
      </c>
      <c r="J63" s="269" t="s">
        <v>326</v>
      </c>
      <c r="K63" s="269" t="s">
        <v>326</v>
      </c>
      <c r="L63" s="91" t="s">
        <v>326</v>
      </c>
      <c r="M63" s="91" t="s">
        <v>326</v>
      </c>
      <c r="N63" s="91" t="s">
        <v>326</v>
      </c>
      <c r="O63" s="91" t="s">
        <v>326</v>
      </c>
      <c r="P63" s="91" t="s">
        <v>326</v>
      </c>
      <c r="Q63" s="395" t="s">
        <v>326</v>
      </c>
      <c r="R63" s="170">
        <f>IF(MAXA(F63:Q63)&lt;0.5,"&lt;0.5",MAXA(F63:Q63))</f>
        <v>0.7</v>
      </c>
      <c r="S63" s="91" t="str">
        <f>IF(MINA(F63:Q63)&lt;0.5,"&lt;0.5",MINA(F63:Q63))</f>
        <v>&lt;0.5</v>
      </c>
      <c r="T63" s="395" t="str">
        <f>IF(AVERAGEA(F63:Q63)&lt;0.5,"&lt;0.5",AVERAGEA(F63:Q63))</f>
        <v>&lt;0.5</v>
      </c>
      <c r="U63" s="578"/>
      <c r="V63" s="2"/>
    </row>
    <row r="64" spans="2:22" ht="12" customHeight="1" thickBot="1" x14ac:dyDescent="0.2">
      <c r="B64" s="24">
        <f t="shared" si="0"/>
        <v>51</v>
      </c>
      <c r="C64" s="606" t="s">
        <v>58</v>
      </c>
      <c r="D64" s="607"/>
      <c r="E64" s="25" t="s">
        <v>120</v>
      </c>
      <c r="F64" s="209" t="s">
        <v>310</v>
      </c>
      <c r="G64" s="261" t="s">
        <v>310</v>
      </c>
      <c r="H64" s="307" t="s">
        <v>310</v>
      </c>
      <c r="I64" s="261" t="s">
        <v>310</v>
      </c>
      <c r="J64" s="307" t="s">
        <v>310</v>
      </c>
      <c r="K64" s="307" t="s">
        <v>310</v>
      </c>
      <c r="L64" s="369" t="s">
        <v>310</v>
      </c>
      <c r="M64" s="386" t="s">
        <v>310</v>
      </c>
      <c r="N64" s="442" t="s">
        <v>310</v>
      </c>
      <c r="O64" s="456" t="s">
        <v>310</v>
      </c>
      <c r="P64" s="479" t="s">
        <v>310</v>
      </c>
      <c r="Q64" s="464" t="s">
        <v>310</v>
      </c>
      <c r="R64" s="487" t="str">
        <f>IF(MAXA(F64:Q64)&lt;0.1,"&lt;0.1",MAXA(F64:Q64))</f>
        <v>&lt;0.1</v>
      </c>
      <c r="S64" s="488" t="str">
        <f>IF(MINA(F64:Q64)&lt;0.1,"&lt;0.1",MINA(F64:Q64))</f>
        <v>&lt;0.1</v>
      </c>
      <c r="T64" s="399" t="str">
        <f>IF(AVERAGEA(F64:Q64)&lt;0.1,"&lt;0.1",AVERAGEA(F64:Q64))</f>
        <v>&lt;0.1</v>
      </c>
      <c r="U64" s="579"/>
      <c r="V64" s="2"/>
    </row>
    <row r="65" spans="2:22" ht="15" customHeight="1" thickBot="1" x14ac:dyDescent="0.2">
      <c r="B65" s="603" t="s">
        <v>126</v>
      </c>
      <c r="C65" s="604"/>
      <c r="D65" s="604"/>
      <c r="E65" s="605"/>
      <c r="F65" s="203" t="s">
        <v>294</v>
      </c>
      <c r="G65" s="122" t="s">
        <v>294</v>
      </c>
      <c r="H65" s="122" t="s">
        <v>294</v>
      </c>
      <c r="I65" s="122" t="s">
        <v>294</v>
      </c>
      <c r="J65" s="122" t="s">
        <v>294</v>
      </c>
      <c r="K65" s="122" t="s">
        <v>294</v>
      </c>
      <c r="L65" s="122" t="s">
        <v>294</v>
      </c>
      <c r="M65" s="122" t="s">
        <v>294</v>
      </c>
      <c r="N65" s="122" t="s">
        <v>294</v>
      </c>
      <c r="O65" s="122" t="s">
        <v>294</v>
      </c>
      <c r="P65" s="122" t="s">
        <v>294</v>
      </c>
      <c r="Q65" s="512" t="s">
        <v>294</v>
      </c>
      <c r="R65" s="480"/>
      <c r="S65" s="480"/>
      <c r="T65" s="480"/>
      <c r="V65" s="2"/>
    </row>
    <row r="66" spans="2:22" ht="15" customHeight="1" thickBot="1" x14ac:dyDescent="0.2">
      <c r="B66" s="603" t="s">
        <v>127</v>
      </c>
      <c r="C66" s="604"/>
      <c r="D66" s="604"/>
      <c r="E66" s="605"/>
      <c r="F66" s="210" t="s">
        <v>196</v>
      </c>
      <c r="G66" s="215" t="s">
        <v>196</v>
      </c>
      <c r="H66" s="215" t="s">
        <v>196</v>
      </c>
      <c r="I66" s="215" t="s">
        <v>196</v>
      </c>
      <c r="J66" s="215" t="s">
        <v>196</v>
      </c>
      <c r="K66" s="215" t="s">
        <v>196</v>
      </c>
      <c r="L66" s="215" t="s">
        <v>196</v>
      </c>
      <c r="M66" s="215" t="s">
        <v>196</v>
      </c>
      <c r="N66" s="215" t="s">
        <v>196</v>
      </c>
      <c r="O66" s="215" t="s">
        <v>196</v>
      </c>
      <c r="P66" s="215" t="s">
        <v>196</v>
      </c>
      <c r="Q66" s="402" t="s">
        <v>196</v>
      </c>
      <c r="S66" s="5"/>
      <c r="T66" s="104"/>
      <c r="V66" s="2"/>
    </row>
    <row r="67" spans="2:22" ht="12" customHeight="1" x14ac:dyDescent="0.15">
      <c r="C67" s="1"/>
      <c r="D67" s="1"/>
      <c r="E67" s="4"/>
      <c r="F67" s="4"/>
      <c r="G67" s="4"/>
      <c r="H67" s="83"/>
      <c r="I67" s="4"/>
      <c r="J67" s="4"/>
      <c r="K67" s="4"/>
      <c r="L67" s="4"/>
      <c r="M67" s="4"/>
      <c r="N67" s="4"/>
      <c r="O67" s="4"/>
      <c r="P67" s="4"/>
      <c r="Q67" s="4"/>
      <c r="R67" s="602"/>
      <c r="S67" s="602"/>
      <c r="T67" s="602"/>
      <c r="V67" s="4"/>
    </row>
    <row r="68" spans="2:22" ht="12" customHeight="1" x14ac:dyDescent="0.15">
      <c r="B68" s="1"/>
      <c r="C68" s="3" t="s">
        <v>495</v>
      </c>
      <c r="D68" s="27"/>
      <c r="E68" s="27"/>
      <c r="F68" s="27"/>
      <c r="G68" s="27"/>
      <c r="H68" s="90"/>
      <c r="I68" s="27"/>
      <c r="J68" s="1"/>
      <c r="K68" s="1"/>
      <c r="L68" s="1"/>
      <c r="N68" s="1"/>
      <c r="O68" s="1"/>
      <c r="P68" s="1"/>
      <c r="Q68" s="1"/>
      <c r="R68" s="4"/>
      <c r="S68" s="1"/>
      <c r="T68" s="4"/>
      <c r="U68" s="1"/>
    </row>
    <row r="69" spans="2:22" ht="10.5" customHeight="1" x14ac:dyDescent="0.15">
      <c r="C69" s="27"/>
      <c r="D69" s="27"/>
      <c r="E69" s="27"/>
      <c r="F69" s="27"/>
      <c r="G69" s="27"/>
      <c r="H69" s="27"/>
      <c r="I69" s="27"/>
      <c r="L69" s="1"/>
    </row>
    <row r="70" spans="2:22" ht="10.5" customHeight="1" x14ac:dyDescent="0.15"/>
    <row r="71" spans="2:22" ht="10.5" customHeight="1" x14ac:dyDescent="0.15"/>
    <row r="72" spans="2:22" ht="10.5" customHeight="1" x14ac:dyDescent="0.15"/>
    <row r="73" spans="2:22" ht="10.5" customHeight="1" x14ac:dyDescent="0.15"/>
    <row r="74" spans="2:22" ht="10.5" customHeight="1" x14ac:dyDescent="0.15"/>
    <row r="75" spans="2:22" ht="10.5" customHeight="1" x14ac:dyDescent="0.15"/>
    <row r="76" spans="2:22" ht="10.5" customHeight="1" x14ac:dyDescent="0.15"/>
    <row r="77" spans="2:22" ht="10.5" customHeight="1" x14ac:dyDescent="0.15"/>
    <row r="78" spans="2:22" ht="10.5" customHeight="1" x14ac:dyDescent="0.15"/>
    <row r="79" spans="2:22" ht="10.5" customHeight="1" x14ac:dyDescent="0.15"/>
    <row r="80" spans="2:22" ht="15" customHeight="1" x14ac:dyDescent="0.15"/>
    <row r="81" ht="5.45" customHeight="1" x14ac:dyDescent="0.15"/>
  </sheetData>
  <mergeCells count="82">
    <mergeCell ref="C64:D64"/>
    <mergeCell ref="C58:D58"/>
    <mergeCell ref="C59:D59"/>
    <mergeCell ref="C60:D60"/>
    <mergeCell ref="C61:D61"/>
    <mergeCell ref="C62:D62"/>
    <mergeCell ref="C63:D63"/>
    <mergeCell ref="C56:D56"/>
    <mergeCell ref="C57:D57"/>
    <mergeCell ref="C50:D50"/>
    <mergeCell ref="C51:D51"/>
    <mergeCell ref="C52:D52"/>
    <mergeCell ref="C53:D53"/>
    <mergeCell ref="C54:D54"/>
    <mergeCell ref="C55:D55"/>
    <mergeCell ref="C46:D46"/>
    <mergeCell ref="C47:D47"/>
    <mergeCell ref="C48:D48"/>
    <mergeCell ref="C49:D49"/>
    <mergeCell ref="C42:D42"/>
    <mergeCell ref="C43:D43"/>
    <mergeCell ref="C44:D44"/>
    <mergeCell ref="C45:D45"/>
    <mergeCell ref="C41:D41"/>
    <mergeCell ref="C35:D35"/>
    <mergeCell ref="C36:D36"/>
    <mergeCell ref="C37:D37"/>
    <mergeCell ref="C15:D15"/>
    <mergeCell ref="C16:D16"/>
    <mergeCell ref="C28:D28"/>
    <mergeCell ref="C29:D29"/>
    <mergeCell ref="C38:D38"/>
    <mergeCell ref="C39:D39"/>
    <mergeCell ref="C40:D40"/>
    <mergeCell ref="C31:D31"/>
    <mergeCell ref="C32:D32"/>
    <mergeCell ref="C33:D33"/>
    <mergeCell ref="C26:D26"/>
    <mergeCell ref="C27:D27"/>
    <mergeCell ref="R6:R9"/>
    <mergeCell ref="S6:S9"/>
    <mergeCell ref="G4:K4"/>
    <mergeCell ref="R13:T13"/>
    <mergeCell ref="D8:E8"/>
    <mergeCell ref="U54:U58"/>
    <mergeCell ref="U59:U64"/>
    <mergeCell ref="U6:U12"/>
    <mergeCell ref="T6:T9"/>
    <mergeCell ref="U52:U53"/>
    <mergeCell ref="U27:U33"/>
    <mergeCell ref="U34:U44"/>
    <mergeCell ref="U14:U15"/>
    <mergeCell ref="U22:U26"/>
    <mergeCell ref="U45:U50"/>
    <mergeCell ref="U16:U21"/>
    <mergeCell ref="R67:T67"/>
    <mergeCell ref="B66:E66"/>
    <mergeCell ref="B65:E65"/>
    <mergeCell ref="B13:D13"/>
    <mergeCell ref="C14:D14"/>
    <mergeCell ref="C17:D17"/>
    <mergeCell ref="C18:D18"/>
    <mergeCell ref="C23:D23"/>
    <mergeCell ref="C24:D24"/>
    <mergeCell ref="C25:D25"/>
    <mergeCell ref="C19:D19"/>
    <mergeCell ref="C20:D20"/>
    <mergeCell ref="C21:D21"/>
    <mergeCell ref="F13:Q13"/>
    <mergeCell ref="C34:D34"/>
    <mergeCell ref="C30:D30"/>
    <mergeCell ref="B1:Q1"/>
    <mergeCell ref="C22:D22"/>
    <mergeCell ref="D9:E9"/>
    <mergeCell ref="D12:E12"/>
    <mergeCell ref="B6:C12"/>
    <mergeCell ref="D10:E10"/>
    <mergeCell ref="D11:E11"/>
    <mergeCell ref="D6:E6"/>
    <mergeCell ref="G3:K3"/>
    <mergeCell ref="B4:C4"/>
    <mergeCell ref="D7:E7"/>
  </mergeCells>
  <phoneticPr fontId="4"/>
  <printOptions horizontalCentered="1"/>
  <pageMargins left="0.70866141732283472" right="0.70866141732283472" top="0.59055118110236227" bottom="0.19685039370078741" header="0" footer="0"/>
  <pageSetup paperSize="9" scale="70" orientation="landscape" r:id="rId1"/>
  <headerFooter alignWithMargins="0"/>
  <colBreaks count="1" manualBreakCount="1">
    <brk id="1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5"/>
  <dimension ref="B1:N48"/>
  <sheetViews>
    <sheetView zoomScaleNormal="100" zoomScaleSheetLayoutView="100" workbookViewId="0"/>
  </sheetViews>
  <sheetFormatPr defaultColWidth="8.875" defaultRowHeight="10.5" x14ac:dyDescent="0.15"/>
  <cols>
    <col min="1" max="1" width="2.625" style="3" customWidth="1"/>
    <col min="2" max="2" width="2.375" style="3" customWidth="1"/>
    <col min="3" max="3" width="7" style="3" customWidth="1"/>
    <col min="4" max="4" width="19.25" style="3" customWidth="1"/>
    <col min="5" max="5" width="15.125" style="3" customWidth="1"/>
    <col min="6" max="12" width="7.625" style="3" customWidth="1"/>
    <col min="13" max="13" width="10.5" style="3" customWidth="1"/>
    <col min="14" max="14" width="3.5" style="3" customWidth="1"/>
    <col min="15" max="16384" width="8.875" style="3"/>
  </cols>
  <sheetData>
    <row r="1" spans="2:14" ht="20.100000000000001" customHeight="1" x14ac:dyDescent="0.15">
      <c r="B1" s="551" t="s">
        <v>685</v>
      </c>
      <c r="C1" s="551"/>
      <c r="D1" s="551"/>
      <c r="E1" s="551"/>
      <c r="F1" s="551"/>
      <c r="G1" s="551"/>
      <c r="H1" s="551"/>
      <c r="I1" s="551"/>
      <c r="J1" s="551"/>
      <c r="K1" s="551"/>
      <c r="L1" s="551"/>
      <c r="M1" s="551"/>
    </row>
    <row r="2" spans="2:14" ht="15" customHeight="1" thickBot="1" x14ac:dyDescent="0.2"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pans="2:14" ht="19.149999999999999" customHeight="1" thickBot="1" x14ac:dyDescent="0.2">
      <c r="B3" s="20"/>
      <c r="D3" s="17"/>
      <c r="F3" s="41" t="s">
        <v>7</v>
      </c>
      <c r="G3" s="639" t="s">
        <v>8</v>
      </c>
      <c r="H3" s="639"/>
      <c r="I3" s="639"/>
      <c r="J3" s="639"/>
      <c r="K3" s="639"/>
      <c r="L3" s="33"/>
      <c r="M3" s="33"/>
    </row>
    <row r="4" spans="2:14" ht="19.149999999999999" customHeight="1" thickBot="1" x14ac:dyDescent="0.2">
      <c r="B4" s="555" t="s">
        <v>23</v>
      </c>
      <c r="C4" s="556"/>
      <c r="D4" s="31" t="s">
        <v>146</v>
      </c>
      <c r="F4" s="42"/>
      <c r="G4" s="646" t="s">
        <v>147</v>
      </c>
      <c r="H4" s="646"/>
      <c r="I4" s="646"/>
      <c r="J4" s="646"/>
      <c r="K4" s="646"/>
      <c r="L4" s="34"/>
      <c r="M4" s="34"/>
    </row>
    <row r="5" spans="2:14" ht="10.15" customHeight="1" thickBot="1" x14ac:dyDescent="0.2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14" ht="14.1" customHeight="1" x14ac:dyDescent="0.15">
      <c r="B6" s="560" t="s">
        <v>5</v>
      </c>
      <c r="C6" s="561"/>
      <c r="D6" s="679" t="s">
        <v>17</v>
      </c>
      <c r="E6" s="680"/>
      <c r="F6" s="167">
        <v>45028</v>
      </c>
      <c r="G6" s="233">
        <v>45112</v>
      </c>
      <c r="H6" s="374">
        <f>'松山（基準）'!L6</f>
        <v>45203</v>
      </c>
      <c r="I6" s="233">
        <v>45301</v>
      </c>
      <c r="J6" s="673" t="s">
        <v>0</v>
      </c>
      <c r="K6" s="676" t="s">
        <v>1</v>
      </c>
      <c r="L6" s="617" t="s">
        <v>2</v>
      </c>
      <c r="M6" s="671" t="s">
        <v>83</v>
      </c>
      <c r="N6" s="4"/>
    </row>
    <row r="7" spans="2:14" ht="14.1" customHeight="1" x14ac:dyDescent="0.15">
      <c r="B7" s="562"/>
      <c r="C7" s="563"/>
      <c r="D7" s="666" t="s">
        <v>18</v>
      </c>
      <c r="E7" s="667"/>
      <c r="F7" s="168">
        <v>0.4152777777777778</v>
      </c>
      <c r="G7" s="169">
        <v>0.5229166666666667</v>
      </c>
      <c r="H7" s="375">
        <f>'松山（基準）'!L7</f>
        <v>0.4680555555555555</v>
      </c>
      <c r="I7" s="169">
        <v>0.41666666666666669</v>
      </c>
      <c r="J7" s="674"/>
      <c r="K7" s="677"/>
      <c r="L7" s="618"/>
      <c r="M7" s="672"/>
      <c r="N7" s="4"/>
    </row>
    <row r="8" spans="2:14" ht="14.1" customHeight="1" x14ac:dyDescent="0.15">
      <c r="B8" s="562"/>
      <c r="C8" s="563"/>
      <c r="D8" s="666" t="s">
        <v>19</v>
      </c>
      <c r="E8" s="668"/>
      <c r="F8" s="169" t="s">
        <v>466</v>
      </c>
      <c r="G8" s="169" t="s">
        <v>302</v>
      </c>
      <c r="H8" s="169" t="str">
        <f>'松山（基準）'!L8</f>
        <v>晴</v>
      </c>
      <c r="I8" s="447" t="s">
        <v>557</v>
      </c>
      <c r="J8" s="674"/>
      <c r="K8" s="677"/>
      <c r="L8" s="618"/>
      <c r="M8" s="672"/>
      <c r="N8" s="4"/>
    </row>
    <row r="9" spans="2:14" ht="14.1" customHeight="1" x14ac:dyDescent="0.15">
      <c r="B9" s="562"/>
      <c r="C9" s="563"/>
      <c r="D9" s="655" t="s">
        <v>20</v>
      </c>
      <c r="E9" s="669"/>
      <c r="F9" s="169" t="s">
        <v>525</v>
      </c>
      <c r="G9" s="169" t="s">
        <v>302</v>
      </c>
      <c r="H9" s="169" t="str">
        <f>'松山（基準）'!L9</f>
        <v>晴</v>
      </c>
      <c r="I9" s="447" t="s">
        <v>557</v>
      </c>
      <c r="J9" s="675"/>
      <c r="K9" s="678"/>
      <c r="L9" s="648"/>
      <c r="M9" s="767"/>
      <c r="N9" s="83"/>
    </row>
    <row r="10" spans="2:14" ht="14.1" customHeight="1" x14ac:dyDescent="0.15">
      <c r="B10" s="562"/>
      <c r="C10" s="563"/>
      <c r="D10" s="655" t="s">
        <v>21</v>
      </c>
      <c r="E10" s="656"/>
      <c r="F10" s="170">
        <v>9.1999999999999993</v>
      </c>
      <c r="G10" s="91">
        <v>27.8</v>
      </c>
      <c r="H10" s="366">
        <f>'松山（基準）'!L10</f>
        <v>24.8</v>
      </c>
      <c r="I10" s="91">
        <v>0.8</v>
      </c>
      <c r="J10" s="84"/>
      <c r="K10" s="85"/>
      <c r="L10" s="86"/>
      <c r="M10" s="767"/>
      <c r="N10" s="83"/>
    </row>
    <row r="11" spans="2:14" ht="14.1" customHeight="1" x14ac:dyDescent="0.15">
      <c r="B11" s="562"/>
      <c r="C11" s="563"/>
      <c r="D11" s="655" t="s">
        <v>264</v>
      </c>
      <c r="E11" s="656"/>
      <c r="F11" s="170">
        <v>8.5</v>
      </c>
      <c r="G11" s="91">
        <v>18.7</v>
      </c>
      <c r="H11" s="366">
        <f>'松山（基準）'!L11</f>
        <v>20.9</v>
      </c>
      <c r="I11" s="91">
        <v>6.7</v>
      </c>
      <c r="J11" s="84"/>
      <c r="K11" s="85"/>
      <c r="L11" s="86"/>
      <c r="M11" s="767"/>
      <c r="N11" s="83"/>
    </row>
    <row r="12" spans="2:14" ht="14.1" customHeight="1" thickBot="1" x14ac:dyDescent="0.2">
      <c r="B12" s="564"/>
      <c r="C12" s="565"/>
      <c r="D12" s="755" t="s">
        <v>4</v>
      </c>
      <c r="E12" s="700"/>
      <c r="F12" s="207">
        <f>'松山（基準）'!F12</f>
        <v>0.52</v>
      </c>
      <c r="G12" s="247">
        <f>'松山（基準）'!I12</f>
        <v>0.65</v>
      </c>
      <c r="H12" s="372">
        <f>'松山（基準）'!L12</f>
        <v>0.61</v>
      </c>
      <c r="I12" s="460">
        <f>'松山（基準）'!O12</f>
        <v>0.52</v>
      </c>
      <c r="J12" s="74"/>
      <c r="K12" s="75"/>
      <c r="L12" s="76"/>
      <c r="M12" s="754"/>
      <c r="N12" s="4"/>
    </row>
    <row r="13" spans="2:14" ht="14.1" customHeight="1" x14ac:dyDescent="0.15">
      <c r="B13" s="584" t="s">
        <v>82</v>
      </c>
      <c r="C13" s="585"/>
      <c r="D13" s="585"/>
      <c r="E13" s="35" t="s">
        <v>86</v>
      </c>
      <c r="F13" s="587" t="s">
        <v>3</v>
      </c>
      <c r="G13" s="585"/>
      <c r="H13" s="585"/>
      <c r="I13" s="588"/>
      <c r="J13" s="587"/>
      <c r="K13" s="585"/>
      <c r="L13" s="588"/>
      <c r="M13" s="44"/>
      <c r="N13" s="4"/>
    </row>
    <row r="14" spans="2:14" ht="14.1" customHeight="1" x14ac:dyDescent="0.15">
      <c r="B14" s="18">
        <v>1</v>
      </c>
      <c r="C14" s="651" t="s">
        <v>69</v>
      </c>
      <c r="D14" s="652"/>
      <c r="E14" s="43" t="s">
        <v>96</v>
      </c>
      <c r="F14" s="212"/>
      <c r="G14" s="179" t="s">
        <v>307</v>
      </c>
      <c r="H14" s="237"/>
      <c r="I14" s="271"/>
      <c r="J14" s="173" t="str">
        <f>IF(MAXA(F14:I14)&lt;0.002,"&lt;0.002",MAXA(F14:I14))</f>
        <v>&lt;0.002</v>
      </c>
      <c r="K14" s="265" t="str">
        <f>IF(MINA(F14:I14)&lt;0.002,"&lt;0.002",MINA(F14:I14))</f>
        <v>&lt;0.002</v>
      </c>
      <c r="L14" s="393" t="str">
        <f>IF(AVERAGEA(F14:I14)&lt;0.002,"&lt;0.002",AVERAGEA(F14:I14))</f>
        <v>&lt;0.002</v>
      </c>
      <c r="M14" s="670" t="s">
        <v>84</v>
      </c>
      <c r="N14" s="2"/>
    </row>
    <row r="15" spans="2:14" ht="14.1" customHeight="1" x14ac:dyDescent="0.15">
      <c r="B15" s="13">
        <v>2</v>
      </c>
      <c r="C15" s="592" t="s">
        <v>70</v>
      </c>
      <c r="D15" s="593"/>
      <c r="E15" s="11" t="s">
        <v>87</v>
      </c>
      <c r="F15" s="202"/>
      <c r="G15" s="179" t="s">
        <v>311</v>
      </c>
      <c r="H15" s="237"/>
      <c r="I15" s="270"/>
      <c r="J15" s="176" t="str">
        <f>IF(MAXA(F15:I15)&lt;0.0002,"&lt;0.0002",MAXA(F15:I15))</f>
        <v>&lt;0.0002</v>
      </c>
      <c r="K15" s="270" t="str">
        <f>IF(MINA(F15:I15)&lt;0.0002,"&lt;0.0002",MINA(F15:I15))</f>
        <v>&lt;0.0002</v>
      </c>
      <c r="L15" s="397" t="str">
        <f>IF(AVERAGEA(F15:I15)&lt;0.0002,"&lt;0.0002",AVERAGEA(F15:I15))</f>
        <v>&lt;0.0002</v>
      </c>
      <c r="M15" s="670"/>
      <c r="N15" s="2"/>
    </row>
    <row r="16" spans="2:14" ht="14.1" customHeight="1" x14ac:dyDescent="0.15">
      <c r="B16" s="13">
        <v>3</v>
      </c>
      <c r="C16" s="592" t="s">
        <v>71</v>
      </c>
      <c r="D16" s="593"/>
      <c r="E16" s="11" t="s">
        <v>96</v>
      </c>
      <c r="F16" s="175" t="s">
        <v>307</v>
      </c>
      <c r="G16" s="179" t="s">
        <v>307</v>
      </c>
      <c r="H16" s="179" t="s">
        <v>307</v>
      </c>
      <c r="I16" s="179" t="s">
        <v>307</v>
      </c>
      <c r="J16" s="173" t="str">
        <f>IF(MAXA(F16:I16)&lt;0.002,"&lt;0.002",MAXA(F16:I16))</f>
        <v>&lt;0.002</v>
      </c>
      <c r="K16" s="265" t="str">
        <f>IF(MINA(F16:I16)&lt;0.002,"&lt;0.002",MINA(F16:I16))</f>
        <v>&lt;0.002</v>
      </c>
      <c r="L16" s="393" t="str">
        <f>IF(AVERAGEA(F16:I16)&lt;0.002,"&lt;0.002",AVERAGEA(F16:I16))</f>
        <v>&lt;0.002</v>
      </c>
      <c r="M16" s="670"/>
      <c r="N16" s="2"/>
    </row>
    <row r="17" spans="2:14" ht="14.1" customHeight="1" x14ac:dyDescent="0.15">
      <c r="B17" s="18">
        <v>4</v>
      </c>
      <c r="C17" s="592" t="s">
        <v>150</v>
      </c>
      <c r="D17" s="593"/>
      <c r="E17" s="11" t="s">
        <v>208</v>
      </c>
      <c r="F17" s="202"/>
      <c r="G17" s="179" t="s">
        <v>319</v>
      </c>
      <c r="H17" s="237"/>
      <c r="I17" s="397"/>
      <c r="J17" s="176" t="str">
        <f>IF(MAXA(F17:I17)&lt;0.0004,"&lt;0.0004",MAXA(F17:I17))</f>
        <v>&lt;0.0004</v>
      </c>
      <c r="K17" s="270" t="str">
        <f>IF(MINA(F17:I17)&lt;0.0004,"&lt;0.0004",MINA(F17:I17))</f>
        <v>&lt;0.0004</v>
      </c>
      <c r="L17" s="397" t="str">
        <f>IF(AVERAGEA(F17:I17)&lt;0.0004,"&lt;0.0004",AVERAGEA(F17:I17))</f>
        <v>&lt;0.0004</v>
      </c>
      <c r="M17" s="595" t="s">
        <v>62</v>
      </c>
      <c r="N17" s="2"/>
    </row>
    <row r="18" spans="2:14" ht="14.1" customHeight="1" x14ac:dyDescent="0.15">
      <c r="B18" s="13">
        <v>5</v>
      </c>
      <c r="C18" s="592" t="s">
        <v>151</v>
      </c>
      <c r="D18" s="593"/>
      <c r="E18" s="11" t="s">
        <v>270</v>
      </c>
      <c r="F18" s="175"/>
      <c r="G18" s="179" t="s">
        <v>320</v>
      </c>
      <c r="H18" s="179"/>
      <c r="I18" s="393"/>
      <c r="J18" s="173" t="str">
        <f>IF(MAXA(F18:I18)&lt;0.04,"&lt;0.04",MAXA(F18:I18))</f>
        <v>&lt;0.04</v>
      </c>
      <c r="K18" s="265" t="str">
        <f>IF(MINA(F18:I18)&lt;0.04,"&lt;0.04",MINA(F18:I18))</f>
        <v>&lt;0.04</v>
      </c>
      <c r="L18" s="393" t="str">
        <f>IF(AVERAGEA(F18:I18)&lt;0.001,"&lt;0.001",AVERAGEA(F18:I18))</f>
        <v>&lt;0.001</v>
      </c>
      <c r="M18" s="595"/>
      <c r="N18" s="2"/>
    </row>
    <row r="19" spans="2:14" ht="14.1" customHeight="1" x14ac:dyDescent="0.15">
      <c r="B19" s="13">
        <v>6</v>
      </c>
      <c r="C19" s="592" t="s">
        <v>72</v>
      </c>
      <c r="D19" s="593"/>
      <c r="E19" s="11" t="s">
        <v>116</v>
      </c>
      <c r="F19" s="175"/>
      <c r="G19" s="179" t="s">
        <v>321</v>
      </c>
      <c r="H19" s="179"/>
      <c r="I19" s="393"/>
      <c r="J19" s="173" t="str">
        <f>IF(MAXA(F19:I19)&lt;0.008,"&lt;0.008",MAXA(F19:I19))</f>
        <v>&lt;0.008</v>
      </c>
      <c r="K19" s="265" t="str">
        <f>IF(MINA(F19:I19)&lt;0.008,"&lt;0.008",MINA(F19:I19))</f>
        <v>&lt;0.008</v>
      </c>
      <c r="L19" s="393" t="str">
        <f>IF(AVERAGEA(F19:I19)&lt;0.008,"&lt;0.008",AVERAGEA(F19:I19))</f>
        <v>&lt;0.008</v>
      </c>
      <c r="M19" s="595"/>
      <c r="N19" s="2"/>
    </row>
    <row r="20" spans="2:14" ht="14.1" customHeight="1" x14ac:dyDescent="0.15">
      <c r="B20" s="18">
        <v>7</v>
      </c>
      <c r="C20" s="592" t="s">
        <v>73</v>
      </c>
      <c r="D20" s="593"/>
      <c r="E20" s="11" t="s">
        <v>91</v>
      </c>
      <c r="F20" s="196"/>
      <c r="G20" s="91"/>
      <c r="H20" s="91"/>
      <c r="I20" s="395"/>
      <c r="J20" s="170"/>
      <c r="K20" s="451"/>
      <c r="L20" s="395"/>
      <c r="M20" s="594" t="s">
        <v>501</v>
      </c>
      <c r="N20" s="2"/>
    </row>
    <row r="21" spans="2:14" ht="14.1" customHeight="1" x14ac:dyDescent="0.15">
      <c r="B21" s="13">
        <v>8</v>
      </c>
      <c r="C21" s="592" t="s">
        <v>74</v>
      </c>
      <c r="D21" s="593"/>
      <c r="E21" s="11" t="s">
        <v>91</v>
      </c>
      <c r="F21" s="196"/>
      <c r="G21" s="91"/>
      <c r="H21" s="91"/>
      <c r="I21" s="395"/>
      <c r="J21" s="170"/>
      <c r="K21" s="451"/>
      <c r="L21" s="395"/>
      <c r="M21" s="596"/>
      <c r="N21" s="2"/>
    </row>
    <row r="22" spans="2:14" ht="14.1" customHeight="1" x14ac:dyDescent="0.15">
      <c r="B22" s="13">
        <v>9</v>
      </c>
      <c r="C22" s="592" t="s">
        <v>152</v>
      </c>
      <c r="D22" s="593"/>
      <c r="E22" s="11" t="s">
        <v>257</v>
      </c>
      <c r="F22" s="175" t="s">
        <v>306</v>
      </c>
      <c r="G22" s="179" t="s">
        <v>306</v>
      </c>
      <c r="H22" s="179">
        <v>1E-3</v>
      </c>
      <c r="I22" s="179" t="s">
        <v>306</v>
      </c>
      <c r="J22" s="173">
        <f>IF(MAXA(F22:I22)&lt;0.001,"&lt;0.001",MAXA(F22:I22))</f>
        <v>1E-3</v>
      </c>
      <c r="K22" s="265" t="str">
        <f>IF(MINA(F22:I22)&lt;0.001,"&lt;0.001",MINA(F22:I22))</f>
        <v>&lt;0.001</v>
      </c>
      <c r="L22" s="393" t="str">
        <f>IF(AVERAGEA(F22:I22)&lt;0.001,"&lt;0.001",AVERAGEA(F22:I22))</f>
        <v>&lt;0.001</v>
      </c>
      <c r="M22" s="594" t="s">
        <v>61</v>
      </c>
      <c r="N22" s="2"/>
    </row>
    <row r="23" spans="2:14" ht="14.1" customHeight="1" x14ac:dyDescent="0.15">
      <c r="B23" s="18">
        <v>10</v>
      </c>
      <c r="C23" s="592" t="s">
        <v>75</v>
      </c>
      <c r="D23" s="593"/>
      <c r="E23" s="11" t="s">
        <v>258</v>
      </c>
      <c r="F23" s="175" t="s">
        <v>307</v>
      </c>
      <c r="G23" s="179" t="s">
        <v>307</v>
      </c>
      <c r="H23" s="179">
        <v>3.0000000000000001E-3</v>
      </c>
      <c r="I23" s="179" t="s">
        <v>307</v>
      </c>
      <c r="J23" s="173">
        <f>IF(MAXA(F23:I23)&lt;0.002,"&lt;0.002",MAXA(F23:I23))</f>
        <v>3.0000000000000001E-3</v>
      </c>
      <c r="K23" s="265" t="str">
        <f>IF(MINA(F23:I23)&lt;0.002,"&lt;0.002",MINA(F23:I23))</f>
        <v>&lt;0.002</v>
      </c>
      <c r="L23" s="393" t="str">
        <f>IF(AVERAGEA(F23:I23)&lt;0.002,"&lt;0.002",AVERAGEA(F23:I23))</f>
        <v>&lt;0.002</v>
      </c>
      <c r="M23" s="596"/>
      <c r="N23" s="2"/>
    </row>
    <row r="24" spans="2:14" ht="14.1" customHeight="1" x14ac:dyDescent="0.15">
      <c r="B24" s="13">
        <v>11</v>
      </c>
      <c r="C24" s="592" t="s">
        <v>76</v>
      </c>
      <c r="D24" s="593"/>
      <c r="E24" s="11" t="s">
        <v>100</v>
      </c>
      <c r="F24" s="200"/>
      <c r="G24" s="178"/>
      <c r="H24" s="178"/>
      <c r="I24" s="396"/>
      <c r="J24" s="177"/>
      <c r="K24" s="268"/>
      <c r="L24" s="396"/>
      <c r="M24" s="9" t="s">
        <v>85</v>
      </c>
      <c r="N24" s="2"/>
    </row>
    <row r="25" spans="2:14" ht="14.1" customHeight="1" x14ac:dyDescent="0.15">
      <c r="B25" s="13">
        <v>12</v>
      </c>
      <c r="C25" s="592" t="s">
        <v>22</v>
      </c>
      <c r="D25" s="593"/>
      <c r="E25" s="11" t="s">
        <v>92</v>
      </c>
      <c r="F25" s="200">
        <f>F12</f>
        <v>0.52</v>
      </c>
      <c r="G25" s="178">
        <f>G12</f>
        <v>0.65</v>
      </c>
      <c r="H25" s="178">
        <f>H12</f>
        <v>0.61</v>
      </c>
      <c r="I25" s="178">
        <f t="shared" ref="I25" si="0">I12</f>
        <v>0.52</v>
      </c>
      <c r="J25" s="177">
        <f>MAXA(F25:I25)</f>
        <v>0.65</v>
      </c>
      <c r="K25" s="268">
        <f>MINA(F25:I25)</f>
        <v>0.52</v>
      </c>
      <c r="L25" s="396">
        <f>AVERAGEA(F25:I25)</f>
        <v>0.57499999999999996</v>
      </c>
      <c r="M25" s="9" t="s">
        <v>502</v>
      </c>
      <c r="N25" s="2"/>
    </row>
    <row r="26" spans="2:14" ht="14.1" customHeight="1" x14ac:dyDescent="0.15">
      <c r="B26" s="18">
        <v>13</v>
      </c>
      <c r="C26" s="592" t="s">
        <v>77</v>
      </c>
      <c r="D26" s="593"/>
      <c r="E26" s="11" t="s">
        <v>102</v>
      </c>
      <c r="F26" s="182">
        <f>'松山（基準）'!F52</f>
        <v>21</v>
      </c>
      <c r="G26" s="234">
        <f>'松山（基準）'!I52</f>
        <v>25</v>
      </c>
      <c r="H26" s="234">
        <f>'松山（基準）'!L52</f>
        <v>29</v>
      </c>
      <c r="I26" s="234">
        <f>'松山（基準）'!O52</f>
        <v>27</v>
      </c>
      <c r="J26" s="171">
        <f>IF(MAXA(F26:I26)&lt;3,"&lt;3",MAXA(F26:I26))</f>
        <v>29</v>
      </c>
      <c r="K26" s="264">
        <f>IF(MINA(F26:I26)&lt;3,"&lt;3",MINA(F26:I26))</f>
        <v>21</v>
      </c>
      <c r="L26" s="392">
        <f>IF(AVERAGEA(F26:I26)&lt;3,"&lt;3",AVERAGEA(F26:I26))</f>
        <v>25.5</v>
      </c>
      <c r="M26" s="81" t="s">
        <v>63</v>
      </c>
      <c r="N26" s="2"/>
    </row>
    <row r="27" spans="2:14" ht="14.1" customHeight="1" x14ac:dyDescent="0.15">
      <c r="B27" s="13">
        <v>14</v>
      </c>
      <c r="C27" s="592" t="s">
        <v>47</v>
      </c>
      <c r="D27" s="593"/>
      <c r="E27" s="11" t="s">
        <v>93</v>
      </c>
      <c r="F27" s="175" t="str">
        <f>'松山（基準）'!F50</f>
        <v>&lt;0.001</v>
      </c>
      <c r="G27" s="179" t="str">
        <f>'松山（基準）'!I50</f>
        <v>&lt;0.001</v>
      </c>
      <c r="H27" s="179" t="str">
        <f>'松山（基準）'!L50</f>
        <v>&lt;0.001</v>
      </c>
      <c r="I27" s="179" t="str">
        <f>'松山（基準）'!O50</f>
        <v>&lt;0.001</v>
      </c>
      <c r="J27" s="173" t="str">
        <f>IF(MAXA(F27:I27)&lt;0.001,"&lt;0.001",MAXA(F27:I27))</f>
        <v>&lt;0.001</v>
      </c>
      <c r="K27" s="265" t="str">
        <f>IF(MINA(F27:I27)&lt;0.001,"&lt;0.001",MINA(F27:I27))</f>
        <v>&lt;0.001</v>
      </c>
      <c r="L27" s="393" t="str">
        <f>IF(AVERAGEA(F27:I27)&lt;0.001,"&lt;0.001",AVERAGEA(F27:I27))</f>
        <v>&lt;0.001</v>
      </c>
      <c r="M27" s="9" t="s">
        <v>60</v>
      </c>
      <c r="N27" s="2"/>
    </row>
    <row r="28" spans="2:14" ht="14.1" customHeight="1" x14ac:dyDescent="0.15">
      <c r="B28" s="13">
        <v>15</v>
      </c>
      <c r="C28" s="592" t="s">
        <v>78</v>
      </c>
      <c r="D28" s="593"/>
      <c r="E28" s="11" t="s">
        <v>94</v>
      </c>
      <c r="F28" s="196">
        <v>1.3</v>
      </c>
      <c r="G28" s="91">
        <v>2.6</v>
      </c>
      <c r="H28" s="91">
        <v>1.9</v>
      </c>
      <c r="I28" s="91">
        <v>2</v>
      </c>
      <c r="J28" s="170">
        <f>IF(MAXA(F28:I28)&lt;1,"&lt;.0",MAXA(F28:I28))</f>
        <v>2.6</v>
      </c>
      <c r="K28" s="451">
        <f>IF(MINA(F28:I28)&lt;1,"&lt;1.0",MINA(F28:I28))</f>
        <v>1.3</v>
      </c>
      <c r="L28" s="395">
        <f>IF(AVERAGEA(F28:I28)&lt;1,"&lt;1.0",AVERAGEA(F28:I28))</f>
        <v>1.9500000000000002</v>
      </c>
      <c r="M28" s="9" t="s">
        <v>504</v>
      </c>
      <c r="N28" s="2"/>
    </row>
    <row r="29" spans="2:14" ht="14.1" customHeight="1" x14ac:dyDescent="0.15">
      <c r="B29" s="18">
        <v>16</v>
      </c>
      <c r="C29" s="592" t="s">
        <v>153</v>
      </c>
      <c r="D29" s="593"/>
      <c r="E29" s="11" t="s">
        <v>95</v>
      </c>
      <c r="F29" s="175"/>
      <c r="G29" s="179" t="s">
        <v>306</v>
      </c>
      <c r="H29" s="179"/>
      <c r="I29" s="265"/>
      <c r="J29" s="173" t="str">
        <f>IF(MAXA(F29:I29)&lt;0.001,"&lt;0.001",MAXA(F29:I29))</f>
        <v>&lt;0.001</v>
      </c>
      <c r="K29" s="265" t="str">
        <f>IF(MINA(F29:I29)&lt;0.001,"&lt;0.001",MINA(F29:I29))</f>
        <v>&lt;0.001</v>
      </c>
      <c r="L29" s="393" t="str">
        <f>IF(AVERAGEA(F29:I29)&lt;0.001,"&lt;0.001",AVERAGEA(F29:I29))</f>
        <v>&lt;0.001</v>
      </c>
      <c r="M29" s="595" t="s">
        <v>62</v>
      </c>
      <c r="N29" s="2"/>
    </row>
    <row r="30" spans="2:14" ht="14.1" customHeight="1" x14ac:dyDescent="0.15">
      <c r="B30" s="13">
        <v>17</v>
      </c>
      <c r="C30" s="592" t="s">
        <v>154</v>
      </c>
      <c r="D30" s="593"/>
      <c r="E30" s="11" t="s">
        <v>96</v>
      </c>
      <c r="F30" s="175"/>
      <c r="G30" s="179" t="s">
        <v>307</v>
      </c>
      <c r="H30" s="179"/>
      <c r="I30" s="265"/>
      <c r="J30" s="173" t="str">
        <f>IF(MAXA(F30:I30)&lt;0.002,"&lt;0.002",MAXA(F30:I30))</f>
        <v>&lt;0.002</v>
      </c>
      <c r="K30" s="265" t="str">
        <f>IF(MINA(F30:I30)&lt;0.002,"&lt;0.002",MINA(F30:I30))</f>
        <v>&lt;0.002</v>
      </c>
      <c r="L30" s="393" t="str">
        <f>IF(AVERAGEA(F30:I30)&lt;0.002,"&lt;0.002",AVERAGEA(F30:I30))</f>
        <v>&lt;0.002</v>
      </c>
      <c r="M30" s="595"/>
      <c r="N30" s="2"/>
    </row>
    <row r="31" spans="2:14" ht="14.1" customHeight="1" x14ac:dyDescent="0.15">
      <c r="B31" s="13">
        <v>18</v>
      </c>
      <c r="C31" s="752" t="s">
        <v>101</v>
      </c>
      <c r="D31" s="753"/>
      <c r="E31" s="11" t="s">
        <v>97</v>
      </c>
      <c r="F31" s="196"/>
      <c r="G31" s="91"/>
      <c r="H31" s="91"/>
      <c r="I31" s="451"/>
      <c r="J31" s="170"/>
      <c r="K31" s="451"/>
      <c r="L31" s="395"/>
      <c r="M31" s="594" t="s">
        <v>63</v>
      </c>
      <c r="N31" s="2"/>
    </row>
    <row r="32" spans="2:14" ht="14.1" customHeight="1" x14ac:dyDescent="0.15">
      <c r="B32" s="18">
        <v>19</v>
      </c>
      <c r="C32" s="592" t="s">
        <v>79</v>
      </c>
      <c r="D32" s="593"/>
      <c r="E32" s="11" t="s">
        <v>97</v>
      </c>
      <c r="F32" s="182" t="s">
        <v>327</v>
      </c>
      <c r="G32" s="234" t="s">
        <v>327</v>
      </c>
      <c r="H32" s="234" t="s">
        <v>327</v>
      </c>
      <c r="I32" s="234" t="s">
        <v>327</v>
      </c>
      <c r="J32" s="171" t="str">
        <f>IF(MAXA(F32:I32)&lt;1,"&lt;1",MAXA(F32:I32))</f>
        <v>&lt;1</v>
      </c>
      <c r="K32" s="264" t="str">
        <f>IF(MINA(F32:I32)&lt;1,"&lt;1",MINA(F32:I32))</f>
        <v>&lt;1</v>
      </c>
      <c r="L32" s="392" t="str">
        <f>IF(AVERAGEA(F32:I32)&lt;1,"&lt;1",AVERAGEA(F32:I32))</f>
        <v>&lt;1</v>
      </c>
      <c r="M32" s="578"/>
      <c r="N32" s="2"/>
    </row>
    <row r="33" spans="2:14" ht="14.1" customHeight="1" x14ac:dyDescent="0.15">
      <c r="B33" s="13">
        <v>20</v>
      </c>
      <c r="C33" s="592" t="s">
        <v>50</v>
      </c>
      <c r="D33" s="593"/>
      <c r="E33" s="11" t="s">
        <v>103</v>
      </c>
      <c r="F33" s="182">
        <f>'松山（基準）'!F53</f>
        <v>60</v>
      </c>
      <c r="G33" s="234">
        <f>'松山（基準）'!I53</f>
        <v>72</v>
      </c>
      <c r="H33" s="234">
        <f>'松山（基準）'!L53</f>
        <v>76</v>
      </c>
      <c r="I33" s="234">
        <f>'松山（基準）'!O53</f>
        <v>66</v>
      </c>
      <c r="J33" s="171">
        <f>IF(MAXA(F33:I33)&lt;1,"&lt;1",MAXA(F33:I33))</f>
        <v>76</v>
      </c>
      <c r="K33" s="264">
        <f>IF(MINA(F33:I33)&lt;1,"&lt;1",MINA(F33:I33))</f>
        <v>60</v>
      </c>
      <c r="L33" s="392">
        <f>IF(AVERAGEA(F33:I33)&lt;1,"&lt;1",AVERAGEA(F33:I33))</f>
        <v>68.5</v>
      </c>
      <c r="M33" s="578"/>
      <c r="N33" s="2"/>
    </row>
    <row r="34" spans="2:14" ht="14.1" customHeight="1" x14ac:dyDescent="0.15">
      <c r="B34" s="13">
        <v>21</v>
      </c>
      <c r="C34" s="592" t="s">
        <v>58</v>
      </c>
      <c r="D34" s="593"/>
      <c r="E34" s="11" t="s">
        <v>98</v>
      </c>
      <c r="F34" s="182" t="str">
        <f>'松山（基準）'!F64</f>
        <v>&lt;0.1</v>
      </c>
      <c r="G34" s="234" t="str">
        <f>'松山（基準）'!I64</f>
        <v>&lt;0.1</v>
      </c>
      <c r="H34" s="234" t="str">
        <f>'松山（基準）'!L64</f>
        <v>&lt;0.1</v>
      </c>
      <c r="I34" s="234" t="str">
        <f>'松山（基準）'!O64</f>
        <v>&lt;0.1</v>
      </c>
      <c r="J34" s="170" t="str">
        <f>IF(MAXA(F34:I34)&lt;0.1,"&lt;0.1",MAXA(F34:I34))</f>
        <v>&lt;0.1</v>
      </c>
      <c r="K34" s="451" t="str">
        <f>IF(MINA(F34:I34)&lt;0.1,"&lt;0.1",MINA(F34:I34))</f>
        <v>&lt;0.1</v>
      </c>
      <c r="L34" s="395" t="str">
        <f>IF(AVERAGEA(F34:I34)&lt;0.1,"&lt;0.1",AVERAGEA(F34:I34))</f>
        <v>&lt;0.1</v>
      </c>
      <c r="M34" s="578"/>
      <c r="N34" s="2"/>
    </row>
    <row r="35" spans="2:14" ht="14.1" customHeight="1" x14ac:dyDescent="0.15">
      <c r="B35" s="18">
        <v>22</v>
      </c>
      <c r="C35" s="592" t="s">
        <v>54</v>
      </c>
      <c r="D35" s="593"/>
      <c r="E35" s="11" t="s">
        <v>99</v>
      </c>
      <c r="F35" s="196">
        <f>'松山（基準）'!F60</f>
        <v>7.3</v>
      </c>
      <c r="G35" s="91">
        <f>'松山（基準）'!I60</f>
        <v>7.4</v>
      </c>
      <c r="H35" s="91">
        <f>'松山（基準）'!L60</f>
        <v>7.4</v>
      </c>
      <c r="I35" s="91">
        <f>'松山（基準）'!O60</f>
        <v>7.4</v>
      </c>
      <c r="J35" s="170">
        <f>MAXA(F35:I35)</f>
        <v>7.4</v>
      </c>
      <c r="K35" s="451">
        <f>MINA(F35:I35)</f>
        <v>7.3</v>
      </c>
      <c r="L35" s="395">
        <f>AVERAGEA(F35:I35)</f>
        <v>7.375</v>
      </c>
      <c r="M35" s="578"/>
      <c r="N35" s="2"/>
    </row>
    <row r="36" spans="2:14" ht="24" customHeight="1" x14ac:dyDescent="0.15">
      <c r="B36" s="13">
        <v>23</v>
      </c>
      <c r="C36" s="592" t="s">
        <v>80</v>
      </c>
      <c r="D36" s="593"/>
      <c r="E36" s="71" t="s">
        <v>104</v>
      </c>
      <c r="F36" s="196">
        <v>-2.4</v>
      </c>
      <c r="G36" s="91">
        <v>-1.8</v>
      </c>
      <c r="H36" s="91">
        <v>-1.7</v>
      </c>
      <c r="I36" s="451">
        <v>-2.2000000000000002</v>
      </c>
      <c r="J36" s="170">
        <f>MAXA(F36:I36)</f>
        <v>-1.7</v>
      </c>
      <c r="K36" s="451">
        <f>MINA(F36:I36)</f>
        <v>-2.4</v>
      </c>
      <c r="L36" s="395">
        <f>AVERAGEA(F36:I36)</f>
        <v>-2.0250000000000004</v>
      </c>
      <c r="M36" s="596"/>
      <c r="N36" s="2"/>
    </row>
    <row r="37" spans="2:14" ht="19.5" x14ac:dyDescent="0.15">
      <c r="B37" s="13">
        <v>24</v>
      </c>
      <c r="C37" s="592" t="s">
        <v>253</v>
      </c>
      <c r="D37" s="593"/>
      <c r="E37" s="71" t="s">
        <v>254</v>
      </c>
      <c r="F37" s="182">
        <v>1</v>
      </c>
      <c r="G37" s="234">
        <v>0</v>
      </c>
      <c r="H37" s="234">
        <v>0</v>
      </c>
      <c r="I37" s="392">
        <v>0</v>
      </c>
      <c r="J37" s="246">
        <f>MAXA(F37:I37)</f>
        <v>1</v>
      </c>
      <c r="K37" s="234">
        <f>MINA(F37:I37)</f>
        <v>0</v>
      </c>
      <c r="L37" s="471">
        <f>AVERAGEA(F37:I37)</f>
        <v>0.25</v>
      </c>
      <c r="M37" s="72" t="s">
        <v>260</v>
      </c>
      <c r="N37" s="2"/>
    </row>
    <row r="38" spans="2:14" ht="13.5" customHeight="1" x14ac:dyDescent="0.15">
      <c r="B38" s="18">
        <v>25</v>
      </c>
      <c r="C38" s="651" t="s">
        <v>207</v>
      </c>
      <c r="D38" s="652"/>
      <c r="E38" s="82" t="s">
        <v>90</v>
      </c>
      <c r="F38" s="213"/>
      <c r="G38" s="179" t="s">
        <v>313</v>
      </c>
      <c r="H38" s="346"/>
      <c r="I38" s="471"/>
      <c r="J38" s="171" t="str">
        <f>IF(MAXA(F38:I38)&lt;0.01,"&lt;0.01",MAXA(F38:I38))</f>
        <v>&lt;0.01</v>
      </c>
      <c r="K38" s="234" t="str">
        <f>IF(MINA(F38:I38)&lt;0.01,"&lt;0.01",MINA(F38:I38))</f>
        <v>&lt;0.01</v>
      </c>
      <c r="L38" s="471" t="str">
        <f>IF(AVERAGEA(F38:I38)&lt;0.01,"&lt;0.01",AVERAGEA(F38:I38))</f>
        <v>&lt;0.01</v>
      </c>
      <c r="M38" s="81" t="s">
        <v>62</v>
      </c>
      <c r="N38" s="2"/>
    </row>
    <row r="39" spans="2:14" ht="13.5" customHeight="1" x14ac:dyDescent="0.15">
      <c r="B39" s="112">
        <v>26</v>
      </c>
      <c r="C39" s="750" t="s">
        <v>43</v>
      </c>
      <c r="D39" s="751"/>
      <c r="E39" s="109" t="s">
        <v>90</v>
      </c>
      <c r="F39" s="175" t="str">
        <f>'松山（基準）'!F46</f>
        <v>&lt;0.01</v>
      </c>
      <c r="G39" s="178">
        <f>'松山（基準）'!I46</f>
        <v>0.03</v>
      </c>
      <c r="H39" s="178">
        <f>'松山（基準）'!L46</f>
        <v>0.01</v>
      </c>
      <c r="I39" s="179" t="str">
        <f>'松山（基準）'!O46</f>
        <v>&lt;0.01</v>
      </c>
      <c r="J39" s="472">
        <f>IF(MAXA(F39:I39)&lt;0.01,"&lt;0.01",MAXA(F39:I39))</f>
        <v>0.03</v>
      </c>
      <c r="K39" s="473" t="str">
        <f>IF(MINA(F39:I39)&lt;0.01,"&lt;0.01",MINA(F39:I39))</f>
        <v>&lt;0.01</v>
      </c>
      <c r="L39" s="477">
        <f>IF(AVERAGEA(F39:I39)&lt;0.01,"&lt;0.01",AVERAGEA(F39:I39))</f>
        <v>0.01</v>
      </c>
      <c r="M39" s="81" t="s">
        <v>84</v>
      </c>
      <c r="N39" s="2"/>
    </row>
    <row r="40" spans="2:14" ht="24.75" customHeight="1" thickBot="1" x14ac:dyDescent="0.2">
      <c r="B40" s="110">
        <v>27</v>
      </c>
      <c r="C40" s="664" t="s">
        <v>295</v>
      </c>
      <c r="D40" s="601"/>
      <c r="E40" s="111" t="s">
        <v>298</v>
      </c>
      <c r="F40" s="214"/>
      <c r="G40" s="331" t="s">
        <v>315</v>
      </c>
      <c r="H40" s="329"/>
      <c r="I40" s="470"/>
      <c r="J40" s="459" t="str">
        <f>IF(MAXA(F40:I40)&lt;0.00001,"&lt;0.000001",MAXA(F40:I40))</f>
        <v>&lt;0.000001</v>
      </c>
      <c r="K40" s="474" t="str">
        <f>IF(MINA(F40:I40)&lt;0.000001,"&lt;0.000001",MINA(F40:I40))</f>
        <v>&lt;0.000001</v>
      </c>
      <c r="L40" s="475" t="str">
        <f>IF(AVERAGEA(F40:I40)&lt;0.000001,"&lt;0.000001",AVERAGEA(F40:I40))</f>
        <v>&lt;0.000001</v>
      </c>
      <c r="M40" s="80" t="s">
        <v>63</v>
      </c>
      <c r="N40" s="2"/>
    </row>
    <row r="41" spans="2:14" ht="15" customHeight="1" x14ac:dyDescent="0.15">
      <c r="B41" s="768" t="s">
        <v>123</v>
      </c>
      <c r="C41" s="769"/>
      <c r="D41" s="769"/>
      <c r="E41" s="30"/>
      <c r="F41" s="770" t="s">
        <v>6</v>
      </c>
      <c r="G41" s="771"/>
      <c r="H41" s="771"/>
      <c r="I41" s="772"/>
      <c r="J41" s="587"/>
      <c r="K41" s="585"/>
      <c r="L41" s="588"/>
      <c r="M41" s="48"/>
      <c r="N41" s="2"/>
    </row>
    <row r="42" spans="2:14" ht="14.1" customHeight="1" x14ac:dyDescent="0.15">
      <c r="B42" s="18">
        <v>1</v>
      </c>
      <c r="C42" s="651" t="s">
        <v>155</v>
      </c>
      <c r="D42" s="662"/>
      <c r="E42" s="7"/>
      <c r="F42" s="163"/>
      <c r="G42" s="94"/>
      <c r="H42" s="94"/>
      <c r="I42" s="376"/>
      <c r="J42" s="45"/>
      <c r="K42" s="46"/>
      <c r="L42" s="47"/>
      <c r="M42" s="653" t="s">
        <v>16</v>
      </c>
      <c r="N42" s="218"/>
    </row>
    <row r="43" spans="2:14" ht="14.1" customHeight="1" thickBot="1" x14ac:dyDescent="0.2">
      <c r="B43" s="14">
        <v>2</v>
      </c>
      <c r="C43" s="600" t="s">
        <v>156</v>
      </c>
      <c r="D43" s="663"/>
      <c r="E43" s="6"/>
      <c r="F43" s="194"/>
      <c r="G43" s="93"/>
      <c r="H43" s="371"/>
      <c r="I43" s="377"/>
      <c r="J43" s="21"/>
      <c r="K43" s="22"/>
      <c r="L43" s="23"/>
      <c r="M43" s="654"/>
      <c r="N43" s="218"/>
    </row>
    <row r="44" spans="2:14" ht="15" customHeight="1" thickBot="1" x14ac:dyDescent="0.2">
      <c r="B44" s="603" t="s">
        <v>81</v>
      </c>
      <c r="C44" s="604"/>
      <c r="D44" s="604"/>
      <c r="E44" s="605"/>
      <c r="F44" s="215" t="s">
        <v>243</v>
      </c>
      <c r="G44" s="215" t="s">
        <v>524</v>
      </c>
      <c r="H44" s="215" t="s">
        <v>552</v>
      </c>
      <c r="I44" s="402" t="s">
        <v>569</v>
      </c>
      <c r="J44" s="5"/>
      <c r="K44" s="5"/>
      <c r="L44" s="5"/>
      <c r="M44" s="2"/>
      <c r="N44" s="2"/>
    </row>
    <row r="45" spans="2:14" ht="10.5" customHeight="1" x14ac:dyDescent="0.15">
      <c r="B45" s="3" t="s">
        <v>122</v>
      </c>
      <c r="C45" s="1"/>
      <c r="D45" s="1"/>
      <c r="E45" s="1"/>
      <c r="F45" s="4"/>
      <c r="G45" s="1"/>
      <c r="H45" s="1"/>
      <c r="I45" s="4"/>
      <c r="J45" s="4"/>
      <c r="K45" s="4"/>
      <c r="L45" s="4"/>
      <c r="M45" s="4"/>
      <c r="N45" s="4"/>
    </row>
    <row r="46" spans="2:14" ht="10.5" customHeight="1" x14ac:dyDescent="0.15">
      <c r="B46" s="3" t="s">
        <v>496</v>
      </c>
    </row>
    <row r="47" spans="2:14" ht="10.5" customHeight="1" x14ac:dyDescent="0.15"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</row>
    <row r="48" spans="2:14" ht="10.15" customHeight="1" x14ac:dyDescent="0.15"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</row>
  </sheetData>
  <mergeCells count="59">
    <mergeCell ref="B44:E44"/>
    <mergeCell ref="C39:D39"/>
    <mergeCell ref="B41:D41"/>
    <mergeCell ref="F41:I41"/>
    <mergeCell ref="J41:L41"/>
    <mergeCell ref="C42:D42"/>
    <mergeCell ref="C40:D40"/>
    <mergeCell ref="M42:M43"/>
    <mergeCell ref="C43:D43"/>
    <mergeCell ref="C34:D34"/>
    <mergeCell ref="C35:D35"/>
    <mergeCell ref="C36:D36"/>
    <mergeCell ref="C37:D37"/>
    <mergeCell ref="C38:D38"/>
    <mergeCell ref="M31:M36"/>
    <mergeCell ref="C33:D33"/>
    <mergeCell ref="C29:D29"/>
    <mergeCell ref="M29:M30"/>
    <mergeCell ref="C30:D30"/>
    <mergeCell ref="C31:D31"/>
    <mergeCell ref="C32:D32"/>
    <mergeCell ref="C24:D24"/>
    <mergeCell ref="C25:D25"/>
    <mergeCell ref="C26:D26"/>
    <mergeCell ref="C27:D27"/>
    <mergeCell ref="C28:D28"/>
    <mergeCell ref="C21:D21"/>
    <mergeCell ref="C22:D22"/>
    <mergeCell ref="C23:D23"/>
    <mergeCell ref="M20:M21"/>
    <mergeCell ref="M22:M23"/>
    <mergeCell ref="C17:D17"/>
    <mergeCell ref="M17:M19"/>
    <mergeCell ref="C18:D18"/>
    <mergeCell ref="C19:D19"/>
    <mergeCell ref="C20:D20"/>
    <mergeCell ref="B13:D13"/>
    <mergeCell ref="F13:I13"/>
    <mergeCell ref="J13:L13"/>
    <mergeCell ref="C14:D14"/>
    <mergeCell ref="M14:M16"/>
    <mergeCell ref="C15:D15"/>
    <mergeCell ref="C16:D16"/>
    <mergeCell ref="D12:E12"/>
    <mergeCell ref="B1:M1"/>
    <mergeCell ref="G3:K3"/>
    <mergeCell ref="B4:C4"/>
    <mergeCell ref="G4:K4"/>
    <mergeCell ref="B6:C12"/>
    <mergeCell ref="D6:E6"/>
    <mergeCell ref="J6:J9"/>
    <mergeCell ref="K6:K9"/>
    <mergeCell ref="L6:L9"/>
    <mergeCell ref="M6:M12"/>
    <mergeCell ref="D7:E7"/>
    <mergeCell ref="D8:E8"/>
    <mergeCell ref="D9:E9"/>
    <mergeCell ref="D10:E10"/>
    <mergeCell ref="D11:E11"/>
  </mergeCells>
  <phoneticPr fontId="4"/>
  <pageMargins left="0.7" right="0.7" top="0.75" bottom="0.75" header="0.3" footer="0.3"/>
  <pageSetup paperSize="9" scale="8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5">
    <pageSetUpPr fitToPage="1"/>
  </sheetPr>
  <dimension ref="B1:V81"/>
  <sheetViews>
    <sheetView zoomScaleNormal="100" zoomScaleSheetLayoutView="100" workbookViewId="0"/>
  </sheetViews>
  <sheetFormatPr defaultColWidth="8.875" defaultRowHeight="10.15" customHeight="1" x14ac:dyDescent="0.15"/>
  <cols>
    <col min="1" max="1" width="1.75" style="3" customWidth="1"/>
    <col min="2" max="2" width="3.125" style="3" customWidth="1"/>
    <col min="3" max="3" width="8.875" style="3" customWidth="1"/>
    <col min="4" max="4" width="14.25" style="3" customWidth="1"/>
    <col min="5" max="5" width="12.125" style="3" customWidth="1"/>
    <col min="6" max="20" width="7.5" style="3" customWidth="1"/>
    <col min="21" max="21" width="13.5" style="4" customWidth="1"/>
    <col min="22" max="22" width="3.5" style="3" customWidth="1"/>
    <col min="23" max="16384" width="8.875" style="3"/>
  </cols>
  <sheetData>
    <row r="1" spans="2:22" ht="20.100000000000001" customHeight="1" x14ac:dyDescent="0.15">
      <c r="B1" s="551" t="s">
        <v>685</v>
      </c>
      <c r="C1" s="551"/>
      <c r="D1" s="551"/>
      <c r="E1" s="551"/>
      <c r="F1" s="551"/>
      <c r="G1" s="551"/>
      <c r="H1" s="551"/>
      <c r="I1" s="551"/>
      <c r="J1" s="551"/>
      <c r="K1" s="551"/>
      <c r="L1" s="551"/>
      <c r="M1" s="551"/>
    </row>
    <row r="2" spans="2:22" ht="12" customHeight="1" thickBot="1" x14ac:dyDescent="0.2">
      <c r="C2" s="16"/>
    </row>
    <row r="3" spans="2:22" ht="16.899999999999999" customHeight="1" thickBot="1" x14ac:dyDescent="0.2">
      <c r="B3" s="4"/>
      <c r="C3" s="10"/>
      <c r="D3" s="12"/>
      <c r="E3" s="4"/>
      <c r="F3" s="41" t="s">
        <v>7</v>
      </c>
      <c r="G3" s="639" t="s">
        <v>8</v>
      </c>
      <c r="H3" s="639"/>
      <c r="I3" s="639"/>
      <c r="J3" s="639"/>
      <c r="K3" s="639"/>
      <c r="L3" s="4"/>
      <c r="M3" s="4"/>
      <c r="N3" s="4"/>
      <c r="O3" s="4"/>
      <c r="P3" s="4"/>
      <c r="Q3" s="4"/>
      <c r="R3" s="4"/>
      <c r="S3" s="4"/>
      <c r="T3" s="4"/>
      <c r="V3" s="4"/>
    </row>
    <row r="4" spans="2:22" ht="16.899999999999999" customHeight="1" thickBot="1" x14ac:dyDescent="0.2">
      <c r="B4" s="620" t="s">
        <v>23</v>
      </c>
      <c r="C4" s="621"/>
      <c r="D4" s="31" t="s">
        <v>146</v>
      </c>
      <c r="E4" s="4"/>
      <c r="F4" s="42"/>
      <c r="G4" s="646" t="s">
        <v>148</v>
      </c>
      <c r="H4" s="646"/>
      <c r="I4" s="646"/>
      <c r="J4" s="646"/>
      <c r="K4" s="646"/>
      <c r="L4" s="4"/>
      <c r="M4" s="4"/>
      <c r="N4" s="4"/>
      <c r="O4" s="4"/>
      <c r="P4" s="4"/>
      <c r="Q4" s="4"/>
      <c r="R4" s="4"/>
      <c r="S4" s="4"/>
      <c r="T4" s="4"/>
      <c r="V4" s="4"/>
    </row>
    <row r="5" spans="2:22" ht="10.15" customHeight="1" thickBot="1" x14ac:dyDescent="0.2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V5" s="4"/>
    </row>
    <row r="6" spans="2:22" ht="12" customHeight="1" x14ac:dyDescent="0.15">
      <c r="B6" s="624" t="s">
        <v>300</v>
      </c>
      <c r="C6" s="625"/>
      <c r="D6" s="628" t="s">
        <v>9</v>
      </c>
      <c r="E6" s="629"/>
      <c r="F6" s="167">
        <v>45028</v>
      </c>
      <c r="G6" s="233">
        <v>45056</v>
      </c>
      <c r="H6" s="233">
        <v>45084</v>
      </c>
      <c r="I6" s="233">
        <v>45112</v>
      </c>
      <c r="J6" s="233">
        <v>45140</v>
      </c>
      <c r="K6" s="233">
        <v>45175</v>
      </c>
      <c r="L6" s="374">
        <v>45203</v>
      </c>
      <c r="M6" s="233">
        <v>45238</v>
      </c>
      <c r="N6" s="233">
        <v>45266</v>
      </c>
      <c r="O6" s="233">
        <v>45301</v>
      </c>
      <c r="P6" s="233">
        <v>45329</v>
      </c>
      <c r="Q6" s="405">
        <v>45357</v>
      </c>
      <c r="R6" s="608" t="s">
        <v>0</v>
      </c>
      <c r="S6" s="612" t="s">
        <v>1</v>
      </c>
      <c r="T6" s="617" t="s">
        <v>2</v>
      </c>
      <c r="U6" s="577" t="s">
        <v>15</v>
      </c>
      <c r="V6" s="4"/>
    </row>
    <row r="7" spans="2:22" ht="12" customHeight="1" x14ac:dyDescent="0.15">
      <c r="B7" s="626"/>
      <c r="C7" s="627"/>
      <c r="D7" s="622" t="s">
        <v>14</v>
      </c>
      <c r="E7" s="623"/>
      <c r="F7" s="168">
        <v>0.44097222222222227</v>
      </c>
      <c r="G7" s="169">
        <v>0.5708333333333333</v>
      </c>
      <c r="H7" s="169">
        <v>0.56041666666666667</v>
      </c>
      <c r="I7" s="169">
        <v>0.55138888888888882</v>
      </c>
      <c r="J7" s="169">
        <v>0.6</v>
      </c>
      <c r="K7" s="169">
        <v>0.58333333333333337</v>
      </c>
      <c r="L7" s="375">
        <v>0.49444444444444446</v>
      </c>
      <c r="M7" s="169">
        <v>0.59513888888888888</v>
      </c>
      <c r="N7" s="169">
        <v>0.46319444444444446</v>
      </c>
      <c r="O7" s="169">
        <v>0.44236111111111115</v>
      </c>
      <c r="P7" s="169">
        <v>0.4597222222222222</v>
      </c>
      <c r="Q7" s="406">
        <v>0.46666666666666662</v>
      </c>
      <c r="R7" s="609"/>
      <c r="S7" s="613"/>
      <c r="T7" s="618"/>
      <c r="U7" s="578"/>
      <c r="V7" s="4"/>
    </row>
    <row r="8" spans="2:22" ht="12" customHeight="1" x14ac:dyDescent="0.15">
      <c r="B8" s="626"/>
      <c r="C8" s="627"/>
      <c r="D8" s="622" t="s">
        <v>10</v>
      </c>
      <c r="E8" s="623"/>
      <c r="F8" s="169" t="s">
        <v>466</v>
      </c>
      <c r="G8" s="169" t="s">
        <v>466</v>
      </c>
      <c r="H8" s="169" t="s">
        <v>466</v>
      </c>
      <c r="I8" s="169" t="s">
        <v>302</v>
      </c>
      <c r="J8" s="169" t="s">
        <v>580</v>
      </c>
      <c r="K8" s="172" t="s">
        <v>302</v>
      </c>
      <c r="L8" s="363" t="s">
        <v>580</v>
      </c>
      <c r="M8" s="408" t="s">
        <v>508</v>
      </c>
      <c r="N8" s="169" t="s">
        <v>302</v>
      </c>
      <c r="O8" s="447" t="s">
        <v>557</v>
      </c>
      <c r="P8" s="478" t="s">
        <v>302</v>
      </c>
      <c r="Q8" s="406" t="s">
        <v>508</v>
      </c>
      <c r="R8" s="609"/>
      <c r="S8" s="613"/>
      <c r="T8" s="618"/>
      <c r="U8" s="578"/>
      <c r="V8" s="4"/>
    </row>
    <row r="9" spans="2:22" ht="12" customHeight="1" x14ac:dyDescent="0.15">
      <c r="B9" s="626"/>
      <c r="C9" s="627"/>
      <c r="D9" s="649" t="s">
        <v>11</v>
      </c>
      <c r="E9" s="650"/>
      <c r="F9" s="169" t="s">
        <v>525</v>
      </c>
      <c r="G9" s="169" t="s">
        <v>466</v>
      </c>
      <c r="H9" s="169" t="s">
        <v>529</v>
      </c>
      <c r="I9" s="169" t="s">
        <v>302</v>
      </c>
      <c r="J9" s="169" t="s">
        <v>302</v>
      </c>
      <c r="K9" s="172" t="s">
        <v>525</v>
      </c>
      <c r="L9" s="363" t="s">
        <v>580</v>
      </c>
      <c r="M9" s="408" t="s">
        <v>556</v>
      </c>
      <c r="N9" s="169" t="s">
        <v>580</v>
      </c>
      <c r="O9" s="447" t="s">
        <v>557</v>
      </c>
      <c r="P9" s="478" t="s">
        <v>302</v>
      </c>
      <c r="Q9" s="484" t="s">
        <v>302</v>
      </c>
      <c r="R9" s="610"/>
      <c r="S9" s="614"/>
      <c r="T9" s="619"/>
      <c r="U9" s="578"/>
      <c r="V9" s="4"/>
    </row>
    <row r="10" spans="2:22" ht="12" customHeight="1" x14ac:dyDescent="0.15">
      <c r="B10" s="626"/>
      <c r="C10" s="627"/>
      <c r="D10" s="649" t="s">
        <v>12</v>
      </c>
      <c r="E10" s="650"/>
      <c r="F10" s="170">
        <v>8.6999999999999993</v>
      </c>
      <c r="G10" s="91">
        <v>17</v>
      </c>
      <c r="H10" s="91">
        <v>22.3</v>
      </c>
      <c r="I10" s="91">
        <v>27.1</v>
      </c>
      <c r="J10" s="91">
        <v>31.6</v>
      </c>
      <c r="K10" s="91">
        <v>24.2</v>
      </c>
      <c r="L10" s="366">
        <v>23.8</v>
      </c>
      <c r="M10" s="91">
        <v>13</v>
      </c>
      <c r="N10" s="91">
        <v>9.8000000000000007</v>
      </c>
      <c r="O10" s="91">
        <v>1.2</v>
      </c>
      <c r="P10" s="91">
        <v>3.4</v>
      </c>
      <c r="Q10" s="395">
        <v>2.2000000000000002</v>
      </c>
      <c r="R10" s="170">
        <f>MAX(F10:Q10)</f>
        <v>31.6</v>
      </c>
      <c r="S10" s="485">
        <f>MIN(F10:Q10)</f>
        <v>1.2</v>
      </c>
      <c r="T10" s="395">
        <f>AVERAGEA(F10:Q10)</f>
        <v>15.358333333333333</v>
      </c>
      <c r="U10" s="578"/>
      <c r="V10" s="4"/>
    </row>
    <row r="11" spans="2:22" ht="12" customHeight="1" x14ac:dyDescent="0.15">
      <c r="B11" s="626"/>
      <c r="C11" s="627"/>
      <c r="D11" s="649" t="s">
        <v>263</v>
      </c>
      <c r="E11" s="650"/>
      <c r="F11" s="170">
        <v>8.4</v>
      </c>
      <c r="G11" s="91">
        <v>8.6999999999999993</v>
      </c>
      <c r="H11" s="91">
        <v>13.8</v>
      </c>
      <c r="I11" s="91">
        <v>18.100000000000001</v>
      </c>
      <c r="J11" s="91">
        <v>20</v>
      </c>
      <c r="K11" s="91">
        <v>14.5</v>
      </c>
      <c r="L11" s="366">
        <v>19.399999999999999</v>
      </c>
      <c r="M11" s="91">
        <v>12</v>
      </c>
      <c r="N11" s="91">
        <v>7.9</v>
      </c>
      <c r="O11" s="91">
        <v>5.3</v>
      </c>
      <c r="P11" s="91">
        <v>2.5</v>
      </c>
      <c r="Q11" s="395">
        <v>3.1</v>
      </c>
      <c r="R11" s="170">
        <f>MAX(F11:Q11)</f>
        <v>20</v>
      </c>
      <c r="S11" s="485">
        <f>MIN(F11:Q11)</f>
        <v>2.5</v>
      </c>
      <c r="T11" s="395">
        <f>AVERAGEA(F11:Q11)</f>
        <v>11.141666666666667</v>
      </c>
      <c r="U11" s="578"/>
      <c r="V11" s="4"/>
    </row>
    <row r="12" spans="2:22" ht="12" customHeight="1" thickBot="1" x14ac:dyDescent="0.2">
      <c r="B12" s="747"/>
      <c r="C12" s="748"/>
      <c r="D12" s="745" t="s">
        <v>4</v>
      </c>
      <c r="E12" s="746"/>
      <c r="F12" s="197">
        <v>0.54</v>
      </c>
      <c r="G12" s="275">
        <v>0.52</v>
      </c>
      <c r="H12" s="247">
        <v>0.56000000000000005</v>
      </c>
      <c r="I12" s="330">
        <v>0.72</v>
      </c>
      <c r="J12" s="247">
        <v>0.69</v>
      </c>
      <c r="K12" s="247">
        <v>0.64</v>
      </c>
      <c r="L12" s="372">
        <v>0.72</v>
      </c>
      <c r="M12" s="416">
        <v>0.7</v>
      </c>
      <c r="N12" s="330">
        <v>0.66</v>
      </c>
      <c r="O12" s="330">
        <v>0.54</v>
      </c>
      <c r="P12" s="330">
        <v>0.55000000000000004</v>
      </c>
      <c r="Q12" s="463">
        <v>0.52</v>
      </c>
      <c r="R12" s="491">
        <f>MAX(F12:Q12)</f>
        <v>0.72</v>
      </c>
      <c r="S12" s="490">
        <f>MIN(F12:Q12)</f>
        <v>0.52</v>
      </c>
      <c r="T12" s="463">
        <f>AVERAGEA(F12:Q12)</f>
        <v>0.61333333333333329</v>
      </c>
      <c r="U12" s="579"/>
      <c r="V12" s="4"/>
    </row>
    <row r="13" spans="2:22" ht="15" customHeight="1" x14ac:dyDescent="0.15">
      <c r="B13" s="584" t="s">
        <v>125</v>
      </c>
      <c r="C13" s="585"/>
      <c r="D13" s="585"/>
      <c r="E13" s="32" t="s">
        <v>64</v>
      </c>
      <c r="F13" s="587" t="s">
        <v>3</v>
      </c>
      <c r="G13" s="658"/>
      <c r="H13" s="585"/>
      <c r="I13" s="585"/>
      <c r="J13" s="585"/>
      <c r="K13" s="585"/>
      <c r="L13" s="585"/>
      <c r="M13" s="585"/>
      <c r="N13" s="585"/>
      <c r="O13" s="585"/>
      <c r="P13" s="585"/>
      <c r="Q13" s="588"/>
      <c r="R13" s="587"/>
      <c r="S13" s="585"/>
      <c r="T13" s="588"/>
      <c r="U13" s="29"/>
      <c r="V13" s="4"/>
    </row>
    <row r="14" spans="2:22" ht="12" customHeight="1" x14ac:dyDescent="0.15">
      <c r="B14" s="19">
        <v>1</v>
      </c>
      <c r="C14" s="592" t="s">
        <v>24</v>
      </c>
      <c r="D14" s="593"/>
      <c r="E14" s="11" t="s">
        <v>105</v>
      </c>
      <c r="F14" s="171">
        <v>0</v>
      </c>
      <c r="G14" s="234">
        <v>0</v>
      </c>
      <c r="H14" s="234">
        <v>0</v>
      </c>
      <c r="I14" s="234">
        <v>0</v>
      </c>
      <c r="J14" s="234">
        <v>0</v>
      </c>
      <c r="K14" s="234">
        <v>0</v>
      </c>
      <c r="L14" s="234">
        <v>0</v>
      </c>
      <c r="M14" s="234">
        <v>0</v>
      </c>
      <c r="N14" s="234">
        <v>0</v>
      </c>
      <c r="O14" s="234">
        <v>0</v>
      </c>
      <c r="P14" s="234">
        <v>0</v>
      </c>
      <c r="Q14" s="392">
        <v>0</v>
      </c>
      <c r="R14" s="308">
        <f>IF(MAX(F14:Q14)=0,0,MAX(F14:Q14))</f>
        <v>0</v>
      </c>
      <c r="S14" s="358">
        <f>IF(MIN(F14:Q14)=0,0,MIN(F14:Q14))</f>
        <v>0</v>
      </c>
      <c r="T14" s="418">
        <f>IF(AVERAGEA(F14:Q14)=0,0,AVERAGEA(F14:Q14))</f>
        <v>0</v>
      </c>
      <c r="U14" s="594" t="s">
        <v>59</v>
      </c>
      <c r="V14" s="2"/>
    </row>
    <row r="15" spans="2:22" ht="12" customHeight="1" x14ac:dyDescent="0.15">
      <c r="B15" s="19">
        <f>B14+1</f>
        <v>2</v>
      </c>
      <c r="C15" s="592" t="s">
        <v>25</v>
      </c>
      <c r="D15" s="593"/>
      <c r="E15" s="15" t="s">
        <v>114</v>
      </c>
      <c r="F15" s="184" t="s">
        <v>303</v>
      </c>
      <c r="G15" s="172" t="s">
        <v>303</v>
      </c>
      <c r="H15" s="172" t="s">
        <v>303</v>
      </c>
      <c r="I15" s="172" t="s">
        <v>303</v>
      </c>
      <c r="J15" s="172" t="s">
        <v>303</v>
      </c>
      <c r="K15" s="172" t="s">
        <v>303</v>
      </c>
      <c r="L15" s="363" t="s">
        <v>303</v>
      </c>
      <c r="M15" s="408" t="s">
        <v>303</v>
      </c>
      <c r="N15" s="441" t="s">
        <v>303</v>
      </c>
      <c r="O15" s="447" t="s">
        <v>303</v>
      </c>
      <c r="P15" s="478" t="s">
        <v>303</v>
      </c>
      <c r="Q15" s="484" t="s">
        <v>303</v>
      </c>
      <c r="R15" s="489"/>
      <c r="S15" s="482"/>
      <c r="T15" s="484"/>
      <c r="U15" s="578"/>
      <c r="V15" s="2"/>
    </row>
    <row r="16" spans="2:22" ht="12" customHeight="1" x14ac:dyDescent="0.15">
      <c r="B16" s="19">
        <f t="shared" ref="B16:B64" si="0">B15+1</f>
        <v>3</v>
      </c>
      <c r="C16" s="592" t="s">
        <v>26</v>
      </c>
      <c r="D16" s="593"/>
      <c r="E16" s="11" t="s">
        <v>209</v>
      </c>
      <c r="F16" s="173"/>
      <c r="G16" s="179"/>
      <c r="H16" s="265"/>
      <c r="I16" s="179" t="s">
        <v>304</v>
      </c>
      <c r="J16" s="265"/>
      <c r="K16" s="265"/>
      <c r="L16" s="179"/>
      <c r="M16" s="179"/>
      <c r="N16" s="179"/>
      <c r="O16" s="179"/>
      <c r="P16" s="179"/>
      <c r="Q16" s="393"/>
      <c r="R16" s="239" t="str">
        <f>IF(MAXA(F16:Q16)&lt;0.0003,"&lt;0.0003",MAXA(F16:Q16))</f>
        <v>&lt;0.0003</v>
      </c>
      <c r="S16" s="179" t="str">
        <f>IF(MINA(F16:Q16)&lt;0.0003,"&lt;0.0003",MINA(F16:Q16))</f>
        <v>&lt;0.0003</v>
      </c>
      <c r="T16" s="393" t="str">
        <f>IF(AVERAGEA(F16:Q16)&lt;0.0003,"&lt;0.0003",AVERAGEA(F16:Q16))</f>
        <v>&lt;0.0003</v>
      </c>
      <c r="U16" s="595" t="s">
        <v>60</v>
      </c>
      <c r="V16" s="2"/>
    </row>
    <row r="17" spans="2:22" ht="12" customHeight="1" x14ac:dyDescent="0.15">
      <c r="B17" s="19">
        <f t="shared" si="0"/>
        <v>4</v>
      </c>
      <c r="C17" s="592" t="s">
        <v>27</v>
      </c>
      <c r="D17" s="593"/>
      <c r="E17" s="11" t="s">
        <v>106</v>
      </c>
      <c r="F17" s="174"/>
      <c r="G17" s="235"/>
      <c r="H17" s="266"/>
      <c r="I17" s="179" t="s">
        <v>305</v>
      </c>
      <c r="J17" s="266"/>
      <c r="K17" s="266"/>
      <c r="L17" s="235"/>
      <c r="M17" s="235"/>
      <c r="N17" s="235"/>
      <c r="O17" s="235"/>
      <c r="P17" s="235"/>
      <c r="Q17" s="394"/>
      <c r="R17" s="276" t="str">
        <f>IF(MAXA(F17:Q17)&lt;0.00005,"&lt;0.00005",MAXA(F17:Q17))</f>
        <v>&lt;0.00005</v>
      </c>
      <c r="S17" s="235" t="str">
        <f>IF(MINA(F17:Q17)&lt;0.00005,"&lt;0.00005",MINA(F17:Q17))</f>
        <v>&lt;0.00005</v>
      </c>
      <c r="T17" s="394" t="str">
        <f>IF(AVERAGEA(F17:Q17)&lt;0.00005,"&lt;0.00005",AVERAGEA(F17:Q17))</f>
        <v>&lt;0.00005</v>
      </c>
      <c r="U17" s="595"/>
      <c r="V17" s="2"/>
    </row>
    <row r="18" spans="2:22" ht="12" customHeight="1" x14ac:dyDescent="0.15">
      <c r="B18" s="19">
        <f t="shared" si="0"/>
        <v>5</v>
      </c>
      <c r="C18" s="592" t="s">
        <v>28</v>
      </c>
      <c r="D18" s="593"/>
      <c r="E18" s="11" t="s">
        <v>93</v>
      </c>
      <c r="F18" s="173"/>
      <c r="G18" s="179"/>
      <c r="H18" s="265"/>
      <c r="I18" s="179" t="s">
        <v>306</v>
      </c>
      <c r="J18" s="265"/>
      <c r="K18" s="265"/>
      <c r="L18" s="179"/>
      <c r="M18" s="179"/>
      <c r="N18" s="179"/>
      <c r="O18" s="179"/>
      <c r="P18" s="179"/>
      <c r="Q18" s="393"/>
      <c r="R18" s="239" t="str">
        <f t="shared" ref="R18:R23" si="1">IF(MAXA(F18:Q18)&lt;0.001,"&lt;0.001",MAXA(F18:Q18))</f>
        <v>&lt;0.001</v>
      </c>
      <c r="S18" s="179" t="str">
        <f t="shared" ref="S18:S23" si="2">IF(MINA(F18:Q18)&lt;0.001,"&lt;0.001",MINA(F18:Q18))</f>
        <v>&lt;0.001</v>
      </c>
      <c r="T18" s="393" t="str">
        <f t="shared" ref="T18:T23" si="3">IF(AVERAGEA(F18:Q18)&lt;0.001,"&lt;0.001",AVERAGEA(F18:Q18))</f>
        <v>&lt;0.001</v>
      </c>
      <c r="U18" s="595"/>
      <c r="V18" s="2"/>
    </row>
    <row r="19" spans="2:22" ht="12" customHeight="1" x14ac:dyDescent="0.15">
      <c r="B19" s="19">
        <f t="shared" si="0"/>
        <v>6</v>
      </c>
      <c r="C19" s="592" t="s">
        <v>29</v>
      </c>
      <c r="D19" s="593"/>
      <c r="E19" s="11" t="s">
        <v>93</v>
      </c>
      <c r="F19" s="173"/>
      <c r="G19" s="179"/>
      <c r="H19" s="265"/>
      <c r="I19" s="179" t="s">
        <v>306</v>
      </c>
      <c r="J19" s="265"/>
      <c r="K19" s="265"/>
      <c r="L19" s="179"/>
      <c r="M19" s="179"/>
      <c r="N19" s="179"/>
      <c r="O19" s="179"/>
      <c r="P19" s="179"/>
      <c r="Q19" s="393"/>
      <c r="R19" s="239" t="str">
        <f t="shared" si="1"/>
        <v>&lt;0.001</v>
      </c>
      <c r="S19" s="179" t="str">
        <f t="shared" si="2"/>
        <v>&lt;0.001</v>
      </c>
      <c r="T19" s="393" t="str">
        <f t="shared" si="3"/>
        <v>&lt;0.001</v>
      </c>
      <c r="U19" s="595"/>
      <c r="V19" s="2"/>
    </row>
    <row r="20" spans="2:22" ht="12" customHeight="1" x14ac:dyDescent="0.15">
      <c r="B20" s="19">
        <f t="shared" si="0"/>
        <v>7</v>
      </c>
      <c r="C20" s="592" t="s">
        <v>30</v>
      </c>
      <c r="D20" s="593"/>
      <c r="E20" s="11" t="s">
        <v>93</v>
      </c>
      <c r="F20" s="173"/>
      <c r="G20" s="179"/>
      <c r="H20" s="265"/>
      <c r="I20" s="179" t="s">
        <v>306</v>
      </c>
      <c r="J20" s="265"/>
      <c r="K20" s="265"/>
      <c r="L20" s="179"/>
      <c r="M20" s="179"/>
      <c r="N20" s="179"/>
      <c r="O20" s="179"/>
      <c r="P20" s="179"/>
      <c r="Q20" s="393"/>
      <c r="R20" s="239" t="str">
        <f t="shared" si="1"/>
        <v>&lt;0.001</v>
      </c>
      <c r="S20" s="179" t="str">
        <f t="shared" si="2"/>
        <v>&lt;0.001</v>
      </c>
      <c r="T20" s="393" t="str">
        <f t="shared" si="3"/>
        <v>&lt;0.001</v>
      </c>
      <c r="U20" s="595"/>
      <c r="V20" s="2"/>
    </row>
    <row r="21" spans="2:22" ht="12" customHeight="1" x14ac:dyDescent="0.15">
      <c r="B21" s="19">
        <f t="shared" si="0"/>
        <v>8</v>
      </c>
      <c r="C21" s="592" t="s">
        <v>31</v>
      </c>
      <c r="D21" s="593"/>
      <c r="E21" s="11" t="s">
        <v>96</v>
      </c>
      <c r="F21" s="173"/>
      <c r="G21" s="179"/>
      <c r="H21" s="265"/>
      <c r="I21" s="179" t="s">
        <v>307</v>
      </c>
      <c r="J21" s="265"/>
      <c r="K21" s="265"/>
      <c r="L21" s="179"/>
      <c r="M21" s="179"/>
      <c r="N21" s="179"/>
      <c r="O21" s="179"/>
      <c r="P21" s="179"/>
      <c r="Q21" s="393"/>
      <c r="R21" s="239" t="str">
        <f>IF(MAXA(F21:Q21)&lt;0.002,"&lt;0.002",MAXA(F21:Q21))</f>
        <v>&lt;0.002</v>
      </c>
      <c r="S21" s="179" t="str">
        <f>IF(MINA(F21:Q21)&lt;0.002,"&lt;0.002",MINA(F21:Q21))</f>
        <v>&lt;0.002</v>
      </c>
      <c r="T21" s="393" t="str">
        <f>IF(AVERAGEA(F21:Q21)&lt;0.002,"&lt;0.002",AVERAGEA(F21:Q21))</f>
        <v>&lt;0.002</v>
      </c>
      <c r="U21" s="595"/>
      <c r="V21" s="2"/>
    </row>
    <row r="22" spans="2:22" ht="12" customHeight="1" x14ac:dyDescent="0.15">
      <c r="B22" s="19">
        <f t="shared" si="0"/>
        <v>9</v>
      </c>
      <c r="C22" s="592" t="s">
        <v>210</v>
      </c>
      <c r="D22" s="611"/>
      <c r="E22" s="11" t="s">
        <v>88</v>
      </c>
      <c r="F22" s="173" t="s">
        <v>308</v>
      </c>
      <c r="G22" s="179"/>
      <c r="H22" s="265"/>
      <c r="I22" s="179" t="s">
        <v>308</v>
      </c>
      <c r="J22" s="265"/>
      <c r="K22" s="265"/>
      <c r="L22" s="179" t="s">
        <v>308</v>
      </c>
      <c r="M22" s="179"/>
      <c r="N22" s="179"/>
      <c r="O22" s="179" t="s">
        <v>308</v>
      </c>
      <c r="P22" s="179"/>
      <c r="Q22" s="393"/>
      <c r="R22" s="239" t="str">
        <f>IF(MAXA(F22:Q22)&lt;0.004,"&lt;0.004",MAXA(F22:Q22))</f>
        <v>&lt;0.004</v>
      </c>
      <c r="S22" s="179" t="str">
        <f>IF(MINA(F22:Q22)&lt;0.004,"&lt;0.004",MINA(F22:Q22))</f>
        <v>&lt;0.004</v>
      </c>
      <c r="T22" s="393" t="str">
        <f>IF(AVERAGEA(F22:Q22)&lt;0.004,"&lt;0.004",AVERAGEA(F22:Q22))</f>
        <v>&lt;0.004</v>
      </c>
      <c r="U22" s="594" t="s">
        <v>498</v>
      </c>
      <c r="V22" s="2"/>
    </row>
    <row r="23" spans="2:22" ht="12" customHeight="1" x14ac:dyDescent="0.15">
      <c r="B23" s="19">
        <f t="shared" si="0"/>
        <v>10</v>
      </c>
      <c r="C23" s="592" t="s">
        <v>32</v>
      </c>
      <c r="D23" s="593"/>
      <c r="E23" s="11" t="s">
        <v>93</v>
      </c>
      <c r="F23" s="173" t="s">
        <v>585</v>
      </c>
      <c r="G23" s="179"/>
      <c r="H23" s="265"/>
      <c r="I23" s="179" t="s">
        <v>306</v>
      </c>
      <c r="J23" s="265"/>
      <c r="K23" s="265"/>
      <c r="L23" s="179" t="s">
        <v>306</v>
      </c>
      <c r="M23" s="179"/>
      <c r="N23" s="179"/>
      <c r="O23" s="179" t="s">
        <v>306</v>
      </c>
      <c r="P23" s="179"/>
      <c r="Q23" s="393"/>
      <c r="R23" s="239" t="str">
        <f t="shared" si="1"/>
        <v>&lt;0.001</v>
      </c>
      <c r="S23" s="179" t="str">
        <f t="shared" si="2"/>
        <v>&lt;0.001</v>
      </c>
      <c r="T23" s="393" t="str">
        <f t="shared" si="3"/>
        <v>&lt;0.001</v>
      </c>
      <c r="U23" s="578"/>
      <c r="V23" s="2"/>
    </row>
    <row r="24" spans="2:22" ht="12" customHeight="1" x14ac:dyDescent="0.15">
      <c r="B24" s="19">
        <f t="shared" si="0"/>
        <v>11</v>
      </c>
      <c r="C24" s="592" t="s">
        <v>33</v>
      </c>
      <c r="D24" s="593"/>
      <c r="E24" s="11" t="s">
        <v>108</v>
      </c>
      <c r="F24" s="423">
        <v>0.15</v>
      </c>
      <c r="G24" s="91">
        <v>0.15</v>
      </c>
      <c r="H24" s="269" t="s">
        <v>586</v>
      </c>
      <c r="I24" s="91">
        <v>0.2</v>
      </c>
      <c r="J24" s="443">
        <v>0.16</v>
      </c>
      <c r="K24" s="443">
        <v>0.12</v>
      </c>
      <c r="L24" s="443">
        <v>0.41</v>
      </c>
      <c r="M24" s="315">
        <v>0.28999999999999998</v>
      </c>
      <c r="N24" s="315">
        <v>0.22</v>
      </c>
      <c r="O24" s="315">
        <v>0.19</v>
      </c>
      <c r="P24" s="315">
        <v>0.19</v>
      </c>
      <c r="Q24" s="395">
        <v>0.19</v>
      </c>
      <c r="R24" s="486">
        <f>IF(MAXA(F24:Q24)&lt;0.1,"&lt;0.1",MAXA(F24:Q24))</f>
        <v>0.41</v>
      </c>
      <c r="S24" s="91" t="str">
        <f>IF(MINA(F24:Q24)&lt;0.1,"&lt;0.1",MINA(F24:Q24))</f>
        <v>&lt;0.1</v>
      </c>
      <c r="T24" s="395">
        <f>IF(AVERAGEA(F24:Q24)&lt;0.1,"&lt;0.1",AVERAGEA(F24:Q24))</f>
        <v>0.18916666666666668</v>
      </c>
      <c r="U24" s="578"/>
      <c r="V24" s="2"/>
    </row>
    <row r="25" spans="2:22" ht="12" customHeight="1" x14ac:dyDescent="0.15">
      <c r="B25" s="19">
        <f t="shared" si="0"/>
        <v>12</v>
      </c>
      <c r="C25" s="592" t="s">
        <v>34</v>
      </c>
      <c r="D25" s="593"/>
      <c r="E25" s="11" t="s">
        <v>109</v>
      </c>
      <c r="F25" s="177"/>
      <c r="G25" s="178"/>
      <c r="H25" s="268"/>
      <c r="I25" s="179" t="s">
        <v>309</v>
      </c>
      <c r="J25" s="268"/>
      <c r="K25" s="268"/>
      <c r="L25" s="178"/>
      <c r="M25" s="178"/>
      <c r="N25" s="178"/>
      <c r="O25" s="178"/>
      <c r="P25" s="178"/>
      <c r="Q25" s="396"/>
      <c r="R25" s="178" t="str">
        <f>IF(MAXA(F25:Q25)&lt;0.08,"&lt;0.08",MAXA(F25:Q25))</f>
        <v>&lt;0.08</v>
      </c>
      <c r="S25" s="178" t="str">
        <f>IF(MINA(F25:Q25)&lt;0.08,"&lt;0.08",MINA(F25:Q25))</f>
        <v>&lt;0.08</v>
      </c>
      <c r="T25" s="396" t="str">
        <f>IF(AVERAGEA(F25:Q25)&lt;0.08,"&lt;0.08",AVERAGEA(F25:Q25))</f>
        <v>&lt;0.08</v>
      </c>
      <c r="U25" s="578"/>
      <c r="V25" s="2"/>
    </row>
    <row r="26" spans="2:22" ht="12" customHeight="1" x14ac:dyDescent="0.15">
      <c r="B26" s="19">
        <f t="shared" si="0"/>
        <v>13</v>
      </c>
      <c r="C26" s="592" t="s">
        <v>35</v>
      </c>
      <c r="D26" s="593"/>
      <c r="E26" s="11" t="s">
        <v>110</v>
      </c>
      <c r="F26" s="170"/>
      <c r="G26" s="91"/>
      <c r="H26" s="269"/>
      <c r="I26" s="179" t="s">
        <v>310</v>
      </c>
      <c r="J26" s="269"/>
      <c r="K26" s="269"/>
      <c r="L26" s="91"/>
      <c r="M26" s="91"/>
      <c r="N26" s="91"/>
      <c r="O26" s="91"/>
      <c r="P26" s="91"/>
      <c r="Q26" s="395"/>
      <c r="R26" s="91" t="str">
        <f>IF(MAXA(F26:Q26)&lt;0.1,"&lt;0.1",MAXA(F26:Q26))</f>
        <v>&lt;0.1</v>
      </c>
      <c r="S26" s="91" t="str">
        <f>IF(MINA(F26:Q26)&lt;0.1,"&lt;0.1",MINA(F26:Q26))</f>
        <v>&lt;0.1</v>
      </c>
      <c r="T26" s="395" t="str">
        <f>IF(AVERAGEA(F26:Q26)&lt;0.1,"&lt;0.1",AVERAGEA(F26:Q26))</f>
        <v>&lt;0.1</v>
      </c>
      <c r="U26" s="596"/>
      <c r="V26" s="2"/>
    </row>
    <row r="27" spans="2:22" ht="12" customHeight="1" x14ac:dyDescent="0.15">
      <c r="B27" s="19">
        <f t="shared" si="0"/>
        <v>14</v>
      </c>
      <c r="C27" s="592" t="s">
        <v>36</v>
      </c>
      <c r="D27" s="593"/>
      <c r="E27" s="11" t="s">
        <v>111</v>
      </c>
      <c r="F27" s="176"/>
      <c r="G27" s="237"/>
      <c r="H27" s="270"/>
      <c r="I27" s="179" t="s">
        <v>311</v>
      </c>
      <c r="J27" s="270"/>
      <c r="K27" s="270"/>
      <c r="L27" s="237"/>
      <c r="M27" s="237"/>
      <c r="N27" s="237"/>
      <c r="O27" s="237"/>
      <c r="P27" s="237"/>
      <c r="Q27" s="397"/>
      <c r="R27" s="237" t="str">
        <f>IF(MAXA(F27:Q27)&lt;0.0002,"&lt;0.0002",MAXA(F27:Q27))</f>
        <v>&lt;0.0002</v>
      </c>
      <c r="S27" s="237" t="str">
        <f>IF(MINA(F27:Q27)&lt;0.0002,"&lt;0.0002",MINA(F27:Q27))</f>
        <v>&lt;0.0002</v>
      </c>
      <c r="T27" s="397" t="str">
        <f>IF(AVERAGEA(F27:Q27)&lt;0.0002,"&lt;0.0002",AVERAGEA(F27:Q27))</f>
        <v>&lt;0.0002</v>
      </c>
      <c r="U27" s="595" t="s">
        <v>62</v>
      </c>
      <c r="V27" s="2"/>
    </row>
    <row r="28" spans="2:22" ht="12" customHeight="1" x14ac:dyDescent="0.15">
      <c r="B28" s="19">
        <f t="shared" si="0"/>
        <v>15</v>
      </c>
      <c r="C28" s="592" t="s">
        <v>187</v>
      </c>
      <c r="D28" s="593"/>
      <c r="E28" s="11" t="s">
        <v>107</v>
      </c>
      <c r="F28" s="173"/>
      <c r="G28" s="179"/>
      <c r="H28" s="265"/>
      <c r="I28" s="179" t="s">
        <v>312</v>
      </c>
      <c r="J28" s="265"/>
      <c r="K28" s="265"/>
      <c r="L28" s="179"/>
      <c r="M28" s="179"/>
      <c r="N28" s="179"/>
      <c r="O28" s="179"/>
      <c r="P28" s="179"/>
      <c r="Q28" s="393"/>
      <c r="R28" s="239" t="str">
        <f>IF(MAXA(F28:Q28)&lt;0.005,"&lt;0.005",MAXA(F28:Q28))</f>
        <v>&lt;0.005</v>
      </c>
      <c r="S28" s="179" t="str">
        <f>IF(MINA(F28:Q28)&lt;0.005,"&lt;0.005",MINA(F28:Q28))</f>
        <v>&lt;0.005</v>
      </c>
      <c r="T28" s="393" t="str">
        <f>IF(AVERAGEA(F28:Q28)&lt;0.005,"&lt;0.005",AVERAGEA(F28:Q28))</f>
        <v>&lt;0.005</v>
      </c>
      <c r="U28" s="595"/>
      <c r="V28" s="2"/>
    </row>
    <row r="29" spans="2:22" ht="24" customHeight="1" x14ac:dyDescent="0.15">
      <c r="B29" s="19">
        <f>B28+1</f>
        <v>16</v>
      </c>
      <c r="C29" s="597" t="s">
        <v>256</v>
      </c>
      <c r="D29" s="593"/>
      <c r="E29" s="11" t="s">
        <v>88</v>
      </c>
      <c r="F29" s="173"/>
      <c r="G29" s="179"/>
      <c r="H29" s="265"/>
      <c r="I29" s="179" t="s">
        <v>307</v>
      </c>
      <c r="J29" s="265"/>
      <c r="K29" s="265"/>
      <c r="L29" s="179"/>
      <c r="M29" s="179"/>
      <c r="N29" s="179"/>
      <c r="O29" s="179"/>
      <c r="P29" s="179"/>
      <c r="Q29" s="393"/>
      <c r="R29" s="179" t="str">
        <f>IF(MAXA(F29:Q29)&lt;0.002,"&lt;0.002",MAXA(F29:Q29))</f>
        <v>&lt;0.002</v>
      </c>
      <c r="S29" s="179" t="str">
        <f>IF(MINA(F29:Q29)&lt;0.002,"&lt;0.002",MINA(F29:Q29))</f>
        <v>&lt;0.002</v>
      </c>
      <c r="T29" s="393" t="str">
        <f>IF(AVERAGEA(F29:Q29)&lt;0.002,"&lt;0.002",AVERAGEA(F29:Q29))</f>
        <v>&lt;0.002</v>
      </c>
      <c r="U29" s="595"/>
      <c r="V29" s="2"/>
    </row>
    <row r="30" spans="2:22" ht="12" customHeight="1" x14ac:dyDescent="0.15">
      <c r="B30" s="19">
        <f t="shared" si="0"/>
        <v>17</v>
      </c>
      <c r="C30" s="592" t="s">
        <v>188</v>
      </c>
      <c r="D30" s="593"/>
      <c r="E30" s="11" t="s">
        <v>96</v>
      </c>
      <c r="F30" s="173"/>
      <c r="G30" s="179"/>
      <c r="H30" s="265"/>
      <c r="I30" s="179" t="s">
        <v>306</v>
      </c>
      <c r="J30" s="265"/>
      <c r="K30" s="265"/>
      <c r="L30" s="179"/>
      <c r="M30" s="179"/>
      <c r="N30" s="179"/>
      <c r="O30" s="179"/>
      <c r="P30" s="179"/>
      <c r="Q30" s="393"/>
      <c r="R30" s="179" t="str">
        <f>IF(MAXA(F30:Q30)&lt;0.001,"&lt;0.001",MAXA(F30:Q30))</f>
        <v>&lt;0.001</v>
      </c>
      <c r="S30" s="179" t="str">
        <f>IF(MINA(F30:Q30)&lt;0.001,"&lt;0.001",MINA(F30:Q30))</f>
        <v>&lt;0.001</v>
      </c>
      <c r="T30" s="393" t="str">
        <f>IF(AVERAGEA(F30:Q30)&lt;0.001,"&lt;0.001",AVERAGEA(F30:Q30))</f>
        <v>&lt;0.001</v>
      </c>
      <c r="U30" s="595"/>
      <c r="V30" s="2"/>
    </row>
    <row r="31" spans="2:22" ht="12" customHeight="1" x14ac:dyDescent="0.15">
      <c r="B31" s="19">
        <f t="shared" si="0"/>
        <v>18</v>
      </c>
      <c r="C31" s="592" t="s">
        <v>189</v>
      </c>
      <c r="D31" s="593"/>
      <c r="E31" s="11" t="s">
        <v>93</v>
      </c>
      <c r="F31" s="173"/>
      <c r="G31" s="179"/>
      <c r="H31" s="265"/>
      <c r="I31" s="179" t="s">
        <v>306</v>
      </c>
      <c r="J31" s="265"/>
      <c r="K31" s="265"/>
      <c r="L31" s="179"/>
      <c r="M31" s="179"/>
      <c r="N31" s="179"/>
      <c r="O31" s="179"/>
      <c r="P31" s="179"/>
      <c r="Q31" s="393"/>
      <c r="R31" s="179" t="str">
        <f>IF(MAXA(F31:Q31)&lt;0.001,"&lt;0.001",MAXA(F31:Q31))</f>
        <v>&lt;0.001</v>
      </c>
      <c r="S31" s="179" t="str">
        <f>IF(MINA(F31:Q31)&lt;0.001,"&lt;0.001",MINA(F31:Q31))</f>
        <v>&lt;0.001</v>
      </c>
      <c r="T31" s="393" t="str">
        <f>IF(AVERAGEA(F31:Q31)&lt;0.001,"&lt;0.001",AVERAGEA(F31:Q31))</f>
        <v>&lt;0.001</v>
      </c>
      <c r="U31" s="595"/>
      <c r="V31" s="2"/>
    </row>
    <row r="32" spans="2:22" ht="12" customHeight="1" x14ac:dyDescent="0.15">
      <c r="B32" s="19">
        <f t="shared" si="0"/>
        <v>19</v>
      </c>
      <c r="C32" s="592" t="s">
        <v>190</v>
      </c>
      <c r="D32" s="593"/>
      <c r="E32" s="11" t="s">
        <v>93</v>
      </c>
      <c r="F32" s="173"/>
      <c r="G32" s="179"/>
      <c r="H32" s="265"/>
      <c r="I32" s="179" t="s">
        <v>306</v>
      </c>
      <c r="J32" s="265"/>
      <c r="K32" s="265"/>
      <c r="L32" s="179"/>
      <c r="M32" s="179"/>
      <c r="N32" s="179"/>
      <c r="O32" s="179"/>
      <c r="P32" s="179"/>
      <c r="Q32" s="393"/>
      <c r="R32" s="179" t="str">
        <f>IF(MAXA(F32:Q32)&lt;0.001,"&lt;0.001",MAXA(F32:Q32))</f>
        <v>&lt;0.001</v>
      </c>
      <c r="S32" s="179" t="str">
        <f>IF(MINA(F32:Q32)&lt;0.001,"&lt;0.001",MINA(F32:Q32))</f>
        <v>&lt;0.001</v>
      </c>
      <c r="T32" s="393" t="str">
        <f>IF(AVERAGEA(F32:Q32)&lt;0.001,"&lt;0.001",AVERAGEA(F32:Q32))</f>
        <v>&lt;0.001</v>
      </c>
      <c r="U32" s="595"/>
      <c r="V32" s="2"/>
    </row>
    <row r="33" spans="2:22" ht="12" customHeight="1" x14ac:dyDescent="0.15">
      <c r="B33" s="19">
        <f t="shared" si="0"/>
        <v>20</v>
      </c>
      <c r="C33" s="592" t="s">
        <v>191</v>
      </c>
      <c r="D33" s="593"/>
      <c r="E33" s="11" t="s">
        <v>93</v>
      </c>
      <c r="F33" s="173"/>
      <c r="G33" s="179"/>
      <c r="H33" s="265"/>
      <c r="I33" s="179" t="s">
        <v>306</v>
      </c>
      <c r="J33" s="265"/>
      <c r="K33" s="265"/>
      <c r="L33" s="179"/>
      <c r="M33" s="179"/>
      <c r="N33" s="179"/>
      <c r="O33" s="179"/>
      <c r="P33" s="179"/>
      <c r="Q33" s="393"/>
      <c r="R33" s="179" t="str">
        <f>IF(MAXA(F33:Q33)&lt;0.001,"&lt;0.001",MAXA(F33:Q33))</f>
        <v>&lt;0.001</v>
      </c>
      <c r="S33" s="179" t="str">
        <f>IF(MINA(F33:Q33)&lt;0.001,"&lt;0.001",MINA(F33:Q33))</f>
        <v>&lt;0.001</v>
      </c>
      <c r="T33" s="393" t="str">
        <f>IF(AVERAGEA(F33:Q33)&lt;0.001,"&lt;0.001",AVERAGEA(F33:Q33))</f>
        <v>&lt;0.001</v>
      </c>
      <c r="U33" s="595"/>
      <c r="V33" s="2"/>
    </row>
    <row r="34" spans="2:22" ht="12" customHeight="1" x14ac:dyDescent="0.15">
      <c r="B34" s="19">
        <f t="shared" si="0"/>
        <v>21</v>
      </c>
      <c r="C34" s="592" t="s">
        <v>252</v>
      </c>
      <c r="D34" s="593"/>
      <c r="E34" s="11" t="s">
        <v>91</v>
      </c>
      <c r="F34" s="173" t="s">
        <v>589</v>
      </c>
      <c r="G34" s="179"/>
      <c r="H34" s="265"/>
      <c r="I34" s="178" t="s">
        <v>589</v>
      </c>
      <c r="J34" s="265"/>
      <c r="K34" s="265"/>
      <c r="L34" s="178" t="s">
        <v>589</v>
      </c>
      <c r="M34" s="179"/>
      <c r="N34" s="179"/>
      <c r="O34" s="179" t="s">
        <v>322</v>
      </c>
      <c r="P34" s="179"/>
      <c r="Q34" s="393"/>
      <c r="R34" s="277" t="str">
        <f>IF(MAXA(F34:Q34)&lt;0.06,"&lt;0.06",MAXA(F34:Q34))</f>
        <v>&lt;0.06</v>
      </c>
      <c r="S34" s="179" t="str">
        <f>IF(MINA(F34:Q34)&lt;0.06,"&lt;0.06",MINA(F34:Q34))</f>
        <v>&lt;0.06</v>
      </c>
      <c r="T34" s="393" t="str">
        <f>IF(AVERAGEA(F34:Q34)&lt;0.06,"&lt;0.06",AVERAGEA(F34:Q34))</f>
        <v>&lt;0.06</v>
      </c>
      <c r="U34" s="594" t="s">
        <v>61</v>
      </c>
      <c r="V34" s="2"/>
    </row>
    <row r="35" spans="2:22" ht="12" customHeight="1" x14ac:dyDescent="0.15">
      <c r="B35" s="19">
        <f t="shared" si="0"/>
        <v>22</v>
      </c>
      <c r="C35" s="592" t="s">
        <v>37</v>
      </c>
      <c r="D35" s="593"/>
      <c r="E35" s="11" t="s">
        <v>96</v>
      </c>
      <c r="F35" s="173" t="s">
        <v>307</v>
      </c>
      <c r="G35" s="179"/>
      <c r="H35" s="265"/>
      <c r="I35" s="179" t="s">
        <v>307</v>
      </c>
      <c r="J35" s="265"/>
      <c r="K35" s="265"/>
      <c r="L35" s="179" t="s">
        <v>307</v>
      </c>
      <c r="M35" s="179"/>
      <c r="N35" s="179"/>
      <c r="O35" s="179" t="s">
        <v>307</v>
      </c>
      <c r="P35" s="179"/>
      <c r="Q35" s="393"/>
      <c r="R35" s="239" t="str">
        <f>IF(MAXA(F35:Q35)&lt;0.002,"&lt;0.002",MAXA(F35:Q35))</f>
        <v>&lt;0.002</v>
      </c>
      <c r="S35" s="179" t="str">
        <f>IF(MINA(F35:Q35)&lt;0.002,"&lt;0.002",MINA(F35:Q35))</f>
        <v>&lt;0.002</v>
      </c>
      <c r="T35" s="393" t="str">
        <f>IF(AVERAGEA(F35:Q35)&lt;0.002,"&lt;0.002",AVERAGEA(F35:Q35))</f>
        <v>&lt;0.002</v>
      </c>
      <c r="U35" s="578"/>
      <c r="V35" s="2"/>
    </row>
    <row r="36" spans="2:22" ht="12" customHeight="1" x14ac:dyDescent="0.15">
      <c r="B36" s="19">
        <f t="shared" si="0"/>
        <v>23</v>
      </c>
      <c r="C36" s="592" t="s">
        <v>171</v>
      </c>
      <c r="D36" s="593"/>
      <c r="E36" s="11" t="s">
        <v>113</v>
      </c>
      <c r="F36" s="173">
        <v>1E-3</v>
      </c>
      <c r="G36" s="179"/>
      <c r="H36" s="265"/>
      <c r="I36" s="179">
        <v>5.0000000000000001E-3</v>
      </c>
      <c r="J36" s="265"/>
      <c r="K36" s="265"/>
      <c r="L36" s="179">
        <v>1.0999999999999999E-2</v>
      </c>
      <c r="M36" s="179"/>
      <c r="N36" s="179"/>
      <c r="O36" s="179" t="s">
        <v>561</v>
      </c>
      <c r="P36" s="179"/>
      <c r="Q36" s="393"/>
      <c r="R36" s="239">
        <f>IF(MAXA(F36:Q36)&lt;0.001,"&lt;0.001",MAXA(F36:Q36))</f>
        <v>1.0999999999999999E-2</v>
      </c>
      <c r="S36" s="179" t="str">
        <f>IF(MINA(F36:Q36)&lt;0.001,"&lt;0.001",MINA(F36:Q36))</f>
        <v>&lt;0.001</v>
      </c>
      <c r="T36" s="393">
        <f>IF(AVERAGEA(F36:Q36)&lt;0.001,"&lt;0.001",AVERAGEA(F36:Q36))</f>
        <v>4.2500000000000003E-3</v>
      </c>
      <c r="U36" s="578"/>
      <c r="V36" s="2"/>
    </row>
    <row r="37" spans="2:22" ht="12" customHeight="1" x14ac:dyDescent="0.15">
      <c r="B37" s="19">
        <f t="shared" si="0"/>
        <v>24</v>
      </c>
      <c r="C37" s="592" t="s">
        <v>38</v>
      </c>
      <c r="D37" s="593"/>
      <c r="E37" s="11" t="s">
        <v>112</v>
      </c>
      <c r="F37" s="173" t="s">
        <v>323</v>
      </c>
      <c r="G37" s="179"/>
      <c r="H37" s="265"/>
      <c r="I37" s="179">
        <v>7.0000000000000001E-3</v>
      </c>
      <c r="J37" s="265"/>
      <c r="K37" s="265"/>
      <c r="L37" s="179">
        <v>1.0999999999999999E-2</v>
      </c>
      <c r="M37" s="179"/>
      <c r="N37" s="179"/>
      <c r="O37" s="179" t="s">
        <v>323</v>
      </c>
      <c r="P37" s="179"/>
      <c r="Q37" s="393"/>
      <c r="R37" s="239">
        <f>IF(MAXA(F37:Q37)&lt;0.003,"&lt;0.003",MAXA(F37:Q37))</f>
        <v>1.0999999999999999E-2</v>
      </c>
      <c r="S37" s="179" t="str">
        <f>IF(MINA(F37:Q37)&lt;0.003,"&lt;0.003",MINA(F37:Q37))</f>
        <v>&lt;0.003</v>
      </c>
      <c r="T37" s="393">
        <f>IF(AVERAGEA(F37:Q37)&lt;0.003,"&lt;0.003",AVERAGEA(F37:Q37))</f>
        <v>4.4999999999999997E-3</v>
      </c>
      <c r="U37" s="578"/>
      <c r="V37" s="2"/>
    </row>
    <row r="38" spans="2:22" ht="12" customHeight="1" x14ac:dyDescent="0.15">
      <c r="B38" s="19">
        <f t="shared" si="0"/>
        <v>25</v>
      </c>
      <c r="C38" s="592" t="s">
        <v>192</v>
      </c>
      <c r="D38" s="593"/>
      <c r="E38" s="11" t="s">
        <v>90</v>
      </c>
      <c r="F38" s="173" t="s">
        <v>547</v>
      </c>
      <c r="G38" s="179"/>
      <c r="H38" s="265"/>
      <c r="I38" s="179">
        <v>2E-3</v>
      </c>
      <c r="J38" s="265"/>
      <c r="K38" s="265"/>
      <c r="L38" s="179">
        <v>1E-3</v>
      </c>
      <c r="M38" s="179"/>
      <c r="N38" s="179"/>
      <c r="O38" s="179" t="s">
        <v>610</v>
      </c>
      <c r="P38" s="179"/>
      <c r="Q38" s="393"/>
      <c r="R38" s="179">
        <f>IF(MAXA(F38:Q38)&lt;0.001,"&lt;0.001",MAXA(F38:Q38))</f>
        <v>2E-3</v>
      </c>
      <c r="S38" s="179" t="str">
        <f>IF(MINA(F38:Q38)&lt;0.001,"&lt;0.001",MINA(F38:Q38))</f>
        <v>&lt;0.001</v>
      </c>
      <c r="T38" s="393" t="str">
        <f>IF(AVERAGEA(F38:Q38)&lt;0.001,"&lt;0.001",AVERAGEA(F38:Q38))</f>
        <v>&lt;0.001</v>
      </c>
      <c r="U38" s="578"/>
      <c r="V38" s="2"/>
    </row>
    <row r="39" spans="2:22" ht="12" customHeight="1" x14ac:dyDescent="0.15">
      <c r="B39" s="19">
        <f t="shared" si="0"/>
        <v>26</v>
      </c>
      <c r="C39" s="592" t="s">
        <v>39</v>
      </c>
      <c r="D39" s="593"/>
      <c r="E39" s="11" t="s">
        <v>93</v>
      </c>
      <c r="F39" s="173" t="s">
        <v>306</v>
      </c>
      <c r="G39" s="179"/>
      <c r="H39" s="265"/>
      <c r="I39" s="179" t="s">
        <v>306</v>
      </c>
      <c r="J39" s="265"/>
      <c r="K39" s="265"/>
      <c r="L39" s="179" t="s">
        <v>306</v>
      </c>
      <c r="M39" s="179"/>
      <c r="N39" s="179"/>
      <c r="O39" s="179" t="s">
        <v>306</v>
      </c>
      <c r="P39" s="179"/>
      <c r="Q39" s="393"/>
      <c r="R39" s="239" t="str">
        <f>IF(MAXA(F39:Q39)&lt;0.001,"&lt;0.001",MAXA(F39:Q39))</f>
        <v>&lt;0.001</v>
      </c>
      <c r="S39" s="179" t="str">
        <f>IF(MINA(F39:Q39)&lt;0.001,"&lt;0.001",MINA(F39:Q39))</f>
        <v>&lt;0.001</v>
      </c>
      <c r="T39" s="393" t="str">
        <f>IF(AVERAGEA(F39:Q39)&lt;0.001,"&lt;0.001",AVERAGEA(F39:Q39))</f>
        <v>&lt;0.001</v>
      </c>
      <c r="U39" s="578"/>
      <c r="V39" s="2"/>
    </row>
    <row r="40" spans="2:22" ht="12" customHeight="1" x14ac:dyDescent="0.15">
      <c r="B40" s="19">
        <f t="shared" si="0"/>
        <v>27</v>
      </c>
      <c r="C40" s="592" t="s">
        <v>40</v>
      </c>
      <c r="D40" s="593"/>
      <c r="E40" s="11" t="s">
        <v>90</v>
      </c>
      <c r="F40" s="173" t="s">
        <v>308</v>
      </c>
      <c r="G40" s="179"/>
      <c r="H40" s="265"/>
      <c r="I40" s="179">
        <v>0.01</v>
      </c>
      <c r="J40" s="265"/>
      <c r="K40" s="265"/>
      <c r="L40" s="179">
        <v>1.7000000000000001E-2</v>
      </c>
      <c r="M40" s="179"/>
      <c r="N40" s="179"/>
      <c r="O40" s="179" t="s">
        <v>308</v>
      </c>
      <c r="P40" s="179"/>
      <c r="Q40" s="393"/>
      <c r="R40" s="239">
        <f>IF(MAXA(F40:Q40)&lt;0.004,"&lt;0.004",MAXA(F40:Q40))</f>
        <v>1.7000000000000001E-2</v>
      </c>
      <c r="S40" s="179" t="str">
        <f>IF(MINA(F40:Q40)&lt;0.004,"&lt;0.004",MINA(F40:Q40))</f>
        <v>&lt;0.004</v>
      </c>
      <c r="T40" s="393">
        <f>IF(AVERAGEA(F40:Q40)&lt;0.004,"&lt;0.004",AVERAGEA(F40:Q40))</f>
        <v>6.7500000000000008E-3</v>
      </c>
      <c r="U40" s="578"/>
      <c r="V40" s="2"/>
    </row>
    <row r="41" spans="2:22" ht="12" customHeight="1" x14ac:dyDescent="0.15">
      <c r="B41" s="19">
        <f t="shared" si="0"/>
        <v>28</v>
      </c>
      <c r="C41" s="592" t="s">
        <v>41</v>
      </c>
      <c r="D41" s="593"/>
      <c r="E41" s="11" t="s">
        <v>112</v>
      </c>
      <c r="F41" s="173" t="s">
        <v>323</v>
      </c>
      <c r="G41" s="178"/>
      <c r="H41" s="268"/>
      <c r="I41" s="179">
        <v>4.0000000000000001E-3</v>
      </c>
      <c r="J41" s="268"/>
      <c r="K41" s="268"/>
      <c r="L41" s="179">
        <v>7.0000000000000001E-3</v>
      </c>
      <c r="M41" s="178"/>
      <c r="N41" s="178"/>
      <c r="O41" s="179" t="s">
        <v>323</v>
      </c>
      <c r="P41" s="178"/>
      <c r="Q41" s="396"/>
      <c r="R41" s="179">
        <f>IF(MAXA(F41:Q41)&lt;0.003,"&lt;0.003",MAXA(F41:Q41))</f>
        <v>7.0000000000000001E-3</v>
      </c>
      <c r="S41" s="179" t="str">
        <f>IF(MINA(F41:Q41)&lt;0.003,"&lt;0.003",MINA(F41:Q41))</f>
        <v>&lt;0.003</v>
      </c>
      <c r="T41" s="393" t="str">
        <f>IF(AVERAGEA(F41:Q41)&lt;0.003,"&lt;0.003",AVERAGEA(F41:Q41))</f>
        <v>&lt;0.003</v>
      </c>
      <c r="U41" s="578"/>
      <c r="V41" s="2"/>
    </row>
    <row r="42" spans="2:22" ht="12" customHeight="1" x14ac:dyDescent="0.15">
      <c r="B42" s="19">
        <f t="shared" si="0"/>
        <v>29</v>
      </c>
      <c r="C42" s="592" t="s">
        <v>193</v>
      </c>
      <c r="D42" s="593"/>
      <c r="E42" s="11" t="s">
        <v>112</v>
      </c>
      <c r="F42" s="173">
        <v>1E-3</v>
      </c>
      <c r="G42" s="237"/>
      <c r="H42" s="270"/>
      <c r="I42" s="179">
        <v>3.0000000000000001E-3</v>
      </c>
      <c r="J42" s="270"/>
      <c r="K42" s="270"/>
      <c r="L42" s="179">
        <v>5.0000000000000001E-3</v>
      </c>
      <c r="M42" s="179"/>
      <c r="N42" s="179"/>
      <c r="O42" s="179" t="s">
        <v>610</v>
      </c>
      <c r="P42" s="179"/>
      <c r="Q42" s="393"/>
      <c r="R42" s="239">
        <f>IF(MAXA(F42:Q42)&lt;0.001,"&lt;0.001",MAXA(F42:Q42))</f>
        <v>5.0000000000000001E-3</v>
      </c>
      <c r="S42" s="179" t="str">
        <f>IF(MINA(F42:Q42)&lt;0.001,"&lt;0.001",MINA(F42:Q42))</f>
        <v>&lt;0.001</v>
      </c>
      <c r="T42" s="393">
        <f>IF(AVERAGEA(F42:Q42)&lt;0.001,"&lt;0.001",AVERAGEA(F42:Q42))</f>
        <v>2.2500000000000003E-3</v>
      </c>
      <c r="U42" s="578"/>
      <c r="V42" s="2"/>
    </row>
    <row r="43" spans="2:22" ht="12" customHeight="1" x14ac:dyDescent="0.15">
      <c r="B43" s="19">
        <f t="shared" si="0"/>
        <v>30</v>
      </c>
      <c r="C43" s="592" t="s">
        <v>194</v>
      </c>
      <c r="D43" s="593"/>
      <c r="E43" s="11" t="s">
        <v>115</v>
      </c>
      <c r="F43" s="173" t="s">
        <v>306</v>
      </c>
      <c r="G43" s="179"/>
      <c r="H43" s="265"/>
      <c r="I43" s="179" t="s">
        <v>306</v>
      </c>
      <c r="J43" s="265"/>
      <c r="K43" s="265"/>
      <c r="L43" s="179" t="s">
        <v>306</v>
      </c>
      <c r="M43" s="179"/>
      <c r="N43" s="179"/>
      <c r="O43" s="179" t="s">
        <v>306</v>
      </c>
      <c r="P43" s="179"/>
      <c r="Q43" s="393"/>
      <c r="R43" s="278" t="str">
        <f>IF(MAXA(F43:Q43)&lt;0.001,"&lt;0.001",MAXA(F43:Q43))</f>
        <v>&lt;0.001</v>
      </c>
      <c r="S43" s="179" t="str">
        <f>IF(MINA(F43:Q43)&lt;0.001,"&lt;0.001",MINA(F43:Q43))</f>
        <v>&lt;0.001</v>
      </c>
      <c r="T43" s="393" t="str">
        <f>IF(AVERAGEA(F43:Q43)&lt;0.001,"&lt;0.001",AVERAGEA(F43:Q43))</f>
        <v>&lt;0.001</v>
      </c>
      <c r="U43" s="578"/>
      <c r="V43" s="2"/>
    </row>
    <row r="44" spans="2:22" ht="12" customHeight="1" x14ac:dyDescent="0.15">
      <c r="B44" s="19">
        <f t="shared" si="0"/>
        <v>31</v>
      </c>
      <c r="C44" s="592" t="s">
        <v>195</v>
      </c>
      <c r="D44" s="593"/>
      <c r="E44" s="11" t="s">
        <v>116</v>
      </c>
      <c r="F44" s="173" t="s">
        <v>321</v>
      </c>
      <c r="G44" s="179"/>
      <c r="H44" s="265"/>
      <c r="I44" s="179" t="s">
        <v>321</v>
      </c>
      <c r="J44" s="265"/>
      <c r="K44" s="265"/>
      <c r="L44" s="179" t="s">
        <v>321</v>
      </c>
      <c r="M44" s="179"/>
      <c r="N44" s="179"/>
      <c r="O44" s="179" t="s">
        <v>321</v>
      </c>
      <c r="P44" s="179"/>
      <c r="Q44" s="393"/>
      <c r="R44" s="239" t="str">
        <f>IF(MAXA(F44:Q44)&lt;0.008,"&lt;0.008",MAXA(F44:Q44))</f>
        <v>&lt;0.008</v>
      </c>
      <c r="S44" s="179" t="str">
        <f>IF(MINA(F44:Q44)&lt;0.008,"&lt;0.008",MINA(F44:Q44))</f>
        <v>&lt;0.008</v>
      </c>
      <c r="T44" s="393" t="str">
        <f>IF(AVERAGEA(F44:Q44)&lt;0.008,"&lt;0.008",AVERAGEA(F44:Q44))</f>
        <v>&lt;0.008</v>
      </c>
      <c r="U44" s="596"/>
      <c r="V44" s="2"/>
    </row>
    <row r="45" spans="2:22" ht="12" customHeight="1" x14ac:dyDescent="0.15">
      <c r="B45" s="19">
        <f t="shared" si="0"/>
        <v>32</v>
      </c>
      <c r="C45" s="592" t="s">
        <v>42</v>
      </c>
      <c r="D45" s="593"/>
      <c r="E45" s="11" t="s">
        <v>110</v>
      </c>
      <c r="F45" s="177"/>
      <c r="G45" s="178"/>
      <c r="H45" s="268"/>
      <c r="I45" s="179" t="s">
        <v>313</v>
      </c>
      <c r="J45" s="268"/>
      <c r="K45" s="268"/>
      <c r="L45" s="178"/>
      <c r="M45" s="178"/>
      <c r="N45" s="178"/>
      <c r="O45" s="178"/>
      <c r="P45" s="178"/>
      <c r="Q45" s="396"/>
      <c r="R45" s="178" t="str">
        <f>IF(MAXA(F45:Q45)&lt;0.001,"&lt;0.001",MAXA(F45:Q45))</f>
        <v>&lt;0.001</v>
      </c>
      <c r="S45" s="178" t="str">
        <f>IF(MINA(F45:Q45)&lt;0.001,"&lt;0.001",MINA(F45:Q45))</f>
        <v>&lt;0.001</v>
      </c>
      <c r="T45" s="396" t="str">
        <f>IF(AVERAGEA(F45:Q45)&lt;0.001,"&lt;0.001",AVERAGEA(F45:Q45))</f>
        <v>&lt;0.001</v>
      </c>
      <c r="U45" s="594" t="s">
        <v>60</v>
      </c>
      <c r="V45" s="2"/>
    </row>
    <row r="46" spans="2:22" ht="12" customHeight="1" x14ac:dyDescent="0.15">
      <c r="B46" s="19">
        <f t="shared" si="0"/>
        <v>33</v>
      </c>
      <c r="C46" s="592" t="s">
        <v>43</v>
      </c>
      <c r="D46" s="593"/>
      <c r="E46" s="11" t="s">
        <v>89</v>
      </c>
      <c r="F46" s="177"/>
      <c r="G46" s="178"/>
      <c r="H46" s="268"/>
      <c r="I46" s="178">
        <v>0.03</v>
      </c>
      <c r="J46" s="268"/>
      <c r="K46" s="268"/>
      <c r="L46" s="178"/>
      <c r="M46" s="178"/>
      <c r="N46" s="178"/>
      <c r="O46" s="178"/>
      <c r="P46" s="178"/>
      <c r="Q46" s="396"/>
      <c r="R46" s="178">
        <f>IF(MAXA(F46:Q46)&lt;0.001,"&lt;0.001",MAXA(F46:Q46))</f>
        <v>0.03</v>
      </c>
      <c r="S46" s="178">
        <f>IF(MINA(F46:Q46)&lt;0.001,"&lt;0.001",MINA(F46:Q46))</f>
        <v>0.03</v>
      </c>
      <c r="T46" s="396">
        <f>IF(AVERAGEA(F46:Q46)&lt;0.001,"&lt;0.001",AVERAGEA(F46:Q46))</f>
        <v>0.03</v>
      </c>
      <c r="U46" s="578"/>
      <c r="V46" s="2"/>
    </row>
    <row r="47" spans="2:22" ht="12" customHeight="1" x14ac:dyDescent="0.15">
      <c r="B47" s="19">
        <f t="shared" si="0"/>
        <v>34</v>
      </c>
      <c r="C47" s="592" t="s">
        <v>44</v>
      </c>
      <c r="D47" s="593"/>
      <c r="E47" s="11" t="s">
        <v>95</v>
      </c>
      <c r="F47" s="177"/>
      <c r="G47" s="178"/>
      <c r="H47" s="268"/>
      <c r="I47" s="179" t="s">
        <v>324</v>
      </c>
      <c r="J47" s="268"/>
      <c r="K47" s="268"/>
      <c r="L47" s="178"/>
      <c r="M47" s="178"/>
      <c r="N47" s="178"/>
      <c r="O47" s="178"/>
      <c r="P47" s="178"/>
      <c r="Q47" s="396"/>
      <c r="R47" s="179" t="str">
        <f>IF(MAXA(F47:Q47)&lt;0.03,"&lt;0.03",MAXA(F47:Q47))</f>
        <v>&lt;0.03</v>
      </c>
      <c r="S47" s="178" t="str">
        <f>IF(MINA(F47:Q47)&lt;0.03,"&lt;0.03",MINA(F47:Q47))</f>
        <v>&lt;0.03</v>
      </c>
      <c r="T47" s="393" t="str">
        <f>IF(AVERAGEA(F47:Q47)&lt;0.03,"&lt;0.03",AVERAGEA(F47:Q47))</f>
        <v>&lt;0.03</v>
      </c>
      <c r="U47" s="578"/>
      <c r="V47" s="2"/>
    </row>
    <row r="48" spans="2:22" ht="12" customHeight="1" x14ac:dyDescent="0.15">
      <c r="B48" s="19">
        <f t="shared" si="0"/>
        <v>35</v>
      </c>
      <c r="C48" s="592" t="s">
        <v>45</v>
      </c>
      <c r="D48" s="593"/>
      <c r="E48" s="11" t="s">
        <v>110</v>
      </c>
      <c r="F48" s="177"/>
      <c r="G48" s="178"/>
      <c r="H48" s="268"/>
      <c r="I48" s="179" t="s">
        <v>313</v>
      </c>
      <c r="J48" s="268"/>
      <c r="K48" s="268"/>
      <c r="L48" s="178"/>
      <c r="M48" s="178"/>
      <c r="N48" s="178"/>
      <c r="O48" s="178"/>
      <c r="P48" s="178"/>
      <c r="Q48" s="396"/>
      <c r="R48" s="178" t="str">
        <f>IF(MAXA(F48:Q48)&lt;0.01,"&lt;0.01",MAXA(F48:Q48))</f>
        <v>&lt;0.01</v>
      </c>
      <c r="S48" s="178" t="str">
        <f>IF(MINA(F48:Q48)&lt;0.01,"&lt;0.01",MINA(F48:Q48))</f>
        <v>&lt;0.01</v>
      </c>
      <c r="T48" s="396" t="str">
        <f>IF(AVERAGEA(F48:Q48)&lt;0.01,"&lt;0.01",AVERAGEA(F48:Q48))</f>
        <v>&lt;0.01</v>
      </c>
      <c r="U48" s="578"/>
      <c r="V48" s="2"/>
    </row>
    <row r="49" spans="2:22" ht="12" customHeight="1" x14ac:dyDescent="0.15">
      <c r="B49" s="19">
        <f t="shared" si="0"/>
        <v>36</v>
      </c>
      <c r="C49" s="592" t="s">
        <v>46</v>
      </c>
      <c r="D49" s="593"/>
      <c r="E49" s="11" t="s">
        <v>65</v>
      </c>
      <c r="F49" s="170"/>
      <c r="G49" s="91"/>
      <c r="H49" s="269"/>
      <c r="I49" s="234">
        <v>12</v>
      </c>
      <c r="J49" s="269"/>
      <c r="K49" s="269"/>
      <c r="L49" s="91"/>
      <c r="M49" s="91"/>
      <c r="N49" s="91"/>
      <c r="O49" s="91"/>
      <c r="P49" s="91"/>
      <c r="Q49" s="395"/>
      <c r="R49" s="234">
        <f>IF(MAXA(F49:Q49)&lt;0.5,"&lt;0.5",MAXA(F49:Q49))</f>
        <v>12</v>
      </c>
      <c r="S49" s="234">
        <f>IF(MINA(F49:Q49)&lt;0.5,"&lt;0.5",MINA(F49:Q49))</f>
        <v>12</v>
      </c>
      <c r="T49" s="392">
        <f>IF(AVERAGEA(F49:Q49)&lt;0.5,"&lt;0.5",AVERAGEA(F49:Q49))</f>
        <v>12</v>
      </c>
      <c r="U49" s="578"/>
      <c r="V49" s="2"/>
    </row>
    <row r="50" spans="2:22" ht="12" customHeight="1" x14ac:dyDescent="0.15">
      <c r="B50" s="19">
        <f t="shared" si="0"/>
        <v>37</v>
      </c>
      <c r="C50" s="592" t="s">
        <v>47</v>
      </c>
      <c r="D50" s="593"/>
      <c r="E50" s="11" t="s">
        <v>107</v>
      </c>
      <c r="F50" s="173"/>
      <c r="G50" s="179"/>
      <c r="H50" s="265"/>
      <c r="I50" s="179" t="s">
        <v>306</v>
      </c>
      <c r="J50" s="265"/>
      <c r="K50" s="265"/>
      <c r="L50" s="179"/>
      <c r="M50" s="179"/>
      <c r="N50" s="179"/>
      <c r="O50" s="179"/>
      <c r="P50" s="179"/>
      <c r="Q50" s="393"/>
      <c r="R50" s="239" t="str">
        <f>IF(MAXA(F50:Q50)&lt;0.001,"&lt;0.001",MAXA(F50:Q50))</f>
        <v>&lt;0.001</v>
      </c>
      <c r="S50" s="179" t="str">
        <f>IF(MINA(F50:Q50)&lt;0.001,"&lt;0.001",MINA(F50:Q50))</f>
        <v>&lt;0.001</v>
      </c>
      <c r="T50" s="393" t="str">
        <f>IF(AVERAGEA(F50:Q50)&lt;0.001,"&lt;0.001",AVERAGEA(F50:Q50))</f>
        <v>&lt;0.001</v>
      </c>
      <c r="U50" s="596"/>
      <c r="V50" s="2"/>
    </row>
    <row r="51" spans="2:22" ht="12" customHeight="1" x14ac:dyDescent="0.15">
      <c r="B51" s="19">
        <f t="shared" si="0"/>
        <v>38</v>
      </c>
      <c r="C51" s="592" t="s">
        <v>48</v>
      </c>
      <c r="D51" s="593"/>
      <c r="E51" s="11" t="s">
        <v>65</v>
      </c>
      <c r="F51" s="171">
        <v>13</v>
      </c>
      <c r="G51" s="234">
        <v>13</v>
      </c>
      <c r="H51" s="264">
        <v>11</v>
      </c>
      <c r="I51" s="234">
        <v>10</v>
      </c>
      <c r="J51" s="264">
        <v>10</v>
      </c>
      <c r="K51" s="264">
        <v>16</v>
      </c>
      <c r="L51" s="234">
        <v>12</v>
      </c>
      <c r="M51" s="234">
        <v>11</v>
      </c>
      <c r="N51" s="234">
        <v>14</v>
      </c>
      <c r="O51" s="234">
        <v>14</v>
      </c>
      <c r="P51" s="234">
        <v>15</v>
      </c>
      <c r="Q51" s="392">
        <v>15</v>
      </c>
      <c r="R51" s="186">
        <f>IF(MAXA(F51:Q51)&lt;0.1,"&lt;0.1",MAXA(F51:Q51))</f>
        <v>16</v>
      </c>
      <c r="S51" s="234">
        <f>IF(MINA(F51:Q51)&lt;0.1,"&lt;0.1",MINA(F51:Q51))</f>
        <v>10</v>
      </c>
      <c r="T51" s="392">
        <f>IF(AVERAGEA(F51:Q51)&lt;0.1,"&lt;0.1",AVERAGEA(F51:Q51))</f>
        <v>12.833333333333334</v>
      </c>
      <c r="U51" s="9" t="s">
        <v>499</v>
      </c>
      <c r="V51" s="2"/>
    </row>
    <row r="52" spans="2:22" ht="12" customHeight="1" x14ac:dyDescent="0.15">
      <c r="B52" s="19">
        <f t="shared" si="0"/>
        <v>39</v>
      </c>
      <c r="C52" s="592" t="s">
        <v>49</v>
      </c>
      <c r="D52" s="593"/>
      <c r="E52" s="11" t="s">
        <v>66</v>
      </c>
      <c r="F52" s="171"/>
      <c r="G52" s="234"/>
      <c r="H52" s="264"/>
      <c r="I52" s="234">
        <v>25</v>
      </c>
      <c r="J52" s="264"/>
      <c r="K52" s="264"/>
      <c r="L52" s="234"/>
      <c r="M52" s="234"/>
      <c r="N52" s="234"/>
      <c r="O52" s="234"/>
      <c r="P52" s="234"/>
      <c r="Q52" s="392"/>
      <c r="R52" s="234">
        <f>IF(MAXA(F52:Q52)&lt;3,"&lt;3",MAXA(F52:Q52))</f>
        <v>25</v>
      </c>
      <c r="S52" s="234">
        <f>IF(MINA(F52:Q52)&lt;3,"&lt;3",MINA(F52:Q52))</f>
        <v>25</v>
      </c>
      <c r="T52" s="392">
        <f>IF(AVERAGEA(F52:Q52)&lt;3,"&lt;3",AVERAGEA(F52:Q52))</f>
        <v>25</v>
      </c>
      <c r="U52" s="595" t="s">
        <v>500</v>
      </c>
      <c r="V52" s="2"/>
    </row>
    <row r="53" spans="2:22" ht="12" customHeight="1" x14ac:dyDescent="0.15">
      <c r="B53" s="19">
        <f t="shared" si="0"/>
        <v>40</v>
      </c>
      <c r="C53" s="592" t="s">
        <v>50</v>
      </c>
      <c r="D53" s="593"/>
      <c r="E53" s="11" t="s">
        <v>67</v>
      </c>
      <c r="F53" s="171"/>
      <c r="G53" s="234"/>
      <c r="H53" s="264"/>
      <c r="I53" s="234">
        <v>71</v>
      </c>
      <c r="J53" s="264"/>
      <c r="K53" s="264"/>
      <c r="L53" s="234"/>
      <c r="M53" s="234"/>
      <c r="N53" s="234"/>
      <c r="O53" s="234"/>
      <c r="P53" s="234"/>
      <c r="Q53" s="392"/>
      <c r="R53" s="234">
        <f>IF(MAXA(F53:Q53)&lt;1,"&lt;1",MAXA(F53:Q53))</f>
        <v>71</v>
      </c>
      <c r="S53" s="234">
        <f>IF(MINA(F53:Q53)&lt;1,"&lt;1",MINA(F53:Q53))</f>
        <v>71</v>
      </c>
      <c r="T53" s="392">
        <f>IF(AVERAGEA(F53:Q53)&lt;1,"&lt;1",AVERAGEA(F53:Q53))</f>
        <v>71</v>
      </c>
      <c r="U53" s="595"/>
      <c r="V53" s="2"/>
    </row>
    <row r="54" spans="2:22" ht="12" customHeight="1" x14ac:dyDescent="0.15">
      <c r="B54" s="19">
        <f t="shared" si="0"/>
        <v>41</v>
      </c>
      <c r="C54" s="592" t="s">
        <v>51</v>
      </c>
      <c r="D54" s="593"/>
      <c r="E54" s="11" t="s">
        <v>89</v>
      </c>
      <c r="F54" s="177"/>
      <c r="G54" s="178"/>
      <c r="H54" s="268"/>
      <c r="I54" s="179" t="s">
        <v>314</v>
      </c>
      <c r="J54" s="268"/>
      <c r="K54" s="268"/>
      <c r="L54" s="178"/>
      <c r="M54" s="178"/>
      <c r="N54" s="178"/>
      <c r="O54" s="178"/>
      <c r="P54" s="178"/>
      <c r="Q54" s="396"/>
      <c r="R54" s="178" t="str">
        <f>IF(MAXA(F54:Q54)&lt;0.02,"&lt;0.02",MAXA(F54:Q54))</f>
        <v>&lt;0.02</v>
      </c>
      <c r="S54" s="178" t="str">
        <f>IF(MINA(F54:Q54)&lt;0.02,"&lt;0.02",MINA(F54:Q54))</f>
        <v>&lt;0.02</v>
      </c>
      <c r="T54" s="396" t="str">
        <f>IF(AVERAGEA(F54:Q54)&lt;0.02,"&lt;0.02",AVERAGEA(F54:Q54))</f>
        <v>&lt;0.02</v>
      </c>
      <c r="U54" s="595" t="s">
        <v>62</v>
      </c>
      <c r="V54" s="2"/>
    </row>
    <row r="55" spans="2:22" ht="12" customHeight="1" x14ac:dyDescent="0.15">
      <c r="B55" s="19">
        <f t="shared" si="0"/>
        <v>42</v>
      </c>
      <c r="C55" s="592" t="s">
        <v>246</v>
      </c>
      <c r="D55" s="593"/>
      <c r="E55" s="11" t="s">
        <v>117</v>
      </c>
      <c r="F55" s="198"/>
      <c r="G55" s="288"/>
      <c r="H55" s="311"/>
      <c r="I55" s="179" t="s">
        <v>315</v>
      </c>
      <c r="J55" s="311"/>
      <c r="K55" s="311"/>
      <c r="L55" s="288"/>
      <c r="M55" s="288"/>
      <c r="N55" s="288"/>
      <c r="O55" s="288"/>
      <c r="P55" s="288"/>
      <c r="Q55" s="398"/>
      <c r="R55" s="495" t="str">
        <f>IF(MAXA(F55:Q55)&lt;0.000001,"&lt;0.000001",MAXA(F55:Q55))</f>
        <v>&lt;0.000001</v>
      </c>
      <c r="S55" s="238" t="str">
        <f>IF(MINA(F55:Q55)&lt;0.000001,"&lt;0.000001",MINA(F55:Q55))</f>
        <v>&lt;0.000001</v>
      </c>
      <c r="T55" s="492" t="str">
        <f>IF(AVERAGEA(F55:Q55)&lt;0.000001,"&lt;0.000001",AVERAGEA(F55:Q55))</f>
        <v>&lt;0.000001</v>
      </c>
      <c r="U55" s="595"/>
      <c r="V55" s="2"/>
    </row>
    <row r="56" spans="2:22" ht="12" customHeight="1" x14ac:dyDescent="0.15">
      <c r="B56" s="19">
        <f t="shared" si="0"/>
        <v>43</v>
      </c>
      <c r="C56" s="592" t="s">
        <v>247</v>
      </c>
      <c r="D56" s="593"/>
      <c r="E56" s="11" t="s">
        <v>117</v>
      </c>
      <c r="F56" s="198"/>
      <c r="G56" s="288"/>
      <c r="H56" s="311"/>
      <c r="I56" s="179" t="s">
        <v>315</v>
      </c>
      <c r="J56" s="311"/>
      <c r="K56" s="311"/>
      <c r="L56" s="288"/>
      <c r="M56" s="288"/>
      <c r="N56" s="288"/>
      <c r="O56" s="288"/>
      <c r="P56" s="288"/>
      <c r="Q56" s="398"/>
      <c r="R56" s="496" t="str">
        <f>IF(MAXA(F56:Q56)&lt;0.000001,"&lt;0.000001",MAXA(F56:Q56))</f>
        <v>&lt;0.000001</v>
      </c>
      <c r="S56" s="497" t="str">
        <f>IF(MINA(F56:Q56)&lt;0.000001,"&lt;0.000001",MINA(F56:Q56))</f>
        <v>&lt;0.000001</v>
      </c>
      <c r="T56" s="498" t="str">
        <f>IF(AVERAGEA(F56:Q56)&lt;0.000001,"&lt;0.000001",AVERAGEA(F56:Q56))</f>
        <v>&lt;0.000001</v>
      </c>
      <c r="U56" s="595"/>
      <c r="V56" s="2"/>
    </row>
    <row r="57" spans="2:22" ht="12" customHeight="1" x14ac:dyDescent="0.15">
      <c r="B57" s="19">
        <f t="shared" si="0"/>
        <v>44</v>
      </c>
      <c r="C57" s="592" t="s">
        <v>52</v>
      </c>
      <c r="D57" s="593"/>
      <c r="E57" s="11" t="s">
        <v>96</v>
      </c>
      <c r="F57" s="173"/>
      <c r="G57" s="179"/>
      <c r="H57" s="265"/>
      <c r="I57" s="179" t="s">
        <v>312</v>
      </c>
      <c r="J57" s="265"/>
      <c r="K57" s="265"/>
      <c r="L57" s="179"/>
      <c r="M57" s="179"/>
      <c r="N57" s="179"/>
      <c r="O57" s="179"/>
      <c r="P57" s="179"/>
      <c r="Q57" s="393"/>
      <c r="R57" s="239" t="str">
        <f>IF(MAXA(F57:Q57)&lt;0.005,"&lt;0.005",MAXA(F57:Q57))</f>
        <v>&lt;0.005</v>
      </c>
      <c r="S57" s="179" t="str">
        <f>IF(MINA(F57:Q57)&lt;0.005,"&lt;0.005",MINA(F57:Q57))</f>
        <v>&lt;0.005</v>
      </c>
      <c r="T57" s="393" t="str">
        <f>IF(AVERAGEA(F57:Q57)&lt;0.005,"&lt;0.005",AVERAGEA(F57:Q57))</f>
        <v>&lt;0.005</v>
      </c>
      <c r="U57" s="595"/>
      <c r="V57" s="2"/>
    </row>
    <row r="58" spans="2:22" ht="12" customHeight="1" x14ac:dyDescent="0.15">
      <c r="B58" s="19">
        <f t="shared" si="0"/>
        <v>45</v>
      </c>
      <c r="C58" s="592" t="s">
        <v>53</v>
      </c>
      <c r="D58" s="593"/>
      <c r="E58" s="11" t="s">
        <v>118</v>
      </c>
      <c r="F58" s="176"/>
      <c r="G58" s="237"/>
      <c r="H58" s="270"/>
      <c r="I58" s="179" t="s">
        <v>316</v>
      </c>
      <c r="J58" s="270"/>
      <c r="K58" s="270"/>
      <c r="L58" s="237"/>
      <c r="M58" s="237"/>
      <c r="N58" s="237"/>
      <c r="O58" s="237"/>
      <c r="P58" s="237"/>
      <c r="Q58" s="397"/>
      <c r="R58" s="278" t="str">
        <f>IF(MAXA(F58:Q58)&lt;0.0005,"&lt;0.0005",MAXA(F58:Q58))</f>
        <v>&lt;0.0005</v>
      </c>
      <c r="S58" s="237" t="str">
        <f>IF(MINA(F58:Q58)&lt;0.0005,"&lt;0.0005",MINA(F58:Q58))</f>
        <v>&lt;0.0005</v>
      </c>
      <c r="T58" s="397" t="str">
        <f>IF(AVERAGEA(F58:Q58)&lt;0.0005,"&lt;0.0005",AVERAGEA(F58:Q58))</f>
        <v>&lt;0.0005</v>
      </c>
      <c r="U58" s="595"/>
      <c r="V58" s="2"/>
    </row>
    <row r="59" spans="2:22" ht="12" customHeight="1" x14ac:dyDescent="0.15">
      <c r="B59" s="28">
        <f t="shared" si="0"/>
        <v>46</v>
      </c>
      <c r="C59" s="592" t="s">
        <v>128</v>
      </c>
      <c r="D59" s="593"/>
      <c r="E59" s="11" t="s">
        <v>97</v>
      </c>
      <c r="F59" s="170" t="s">
        <v>611</v>
      </c>
      <c r="G59" s="91">
        <v>0.3</v>
      </c>
      <c r="H59" s="269">
        <v>0.4</v>
      </c>
      <c r="I59" s="91">
        <v>0.6</v>
      </c>
      <c r="J59" s="269">
        <v>0.5</v>
      </c>
      <c r="K59" s="269">
        <v>0.4</v>
      </c>
      <c r="L59" s="91">
        <v>0.8</v>
      </c>
      <c r="M59" s="91">
        <v>0.6</v>
      </c>
      <c r="N59" s="91">
        <v>0.4</v>
      </c>
      <c r="O59" s="91" t="s">
        <v>325</v>
      </c>
      <c r="P59" s="91">
        <v>0.3</v>
      </c>
      <c r="Q59" s="395">
        <v>0.4</v>
      </c>
      <c r="R59" s="170">
        <f>IF(MAXA(F59:Q59)&lt;0.3,"&lt;0.3",MAXA(F59:Q59))</f>
        <v>0.8</v>
      </c>
      <c r="S59" s="91" t="str">
        <f>IF(MINA(F59:Q59)&lt;0.3,"&lt;0.3",MINA(F59:Q59))</f>
        <v>&lt;0.3</v>
      </c>
      <c r="T59" s="395">
        <f>IF(AVERAGEA(F59:Q59)&lt;0.3,"&lt;0.3",AVERAGEA(F59:Q59))</f>
        <v>0.39166666666666666</v>
      </c>
      <c r="U59" s="595" t="s">
        <v>63</v>
      </c>
      <c r="V59" s="2"/>
    </row>
    <row r="60" spans="2:22" ht="12" customHeight="1" x14ac:dyDescent="0.15">
      <c r="B60" s="19">
        <f t="shared" si="0"/>
        <v>47</v>
      </c>
      <c r="C60" s="592" t="s">
        <v>54</v>
      </c>
      <c r="D60" s="593"/>
      <c r="E60" s="11" t="s">
        <v>68</v>
      </c>
      <c r="F60" s="170">
        <v>7.4</v>
      </c>
      <c r="G60" s="91">
        <v>7.3</v>
      </c>
      <c r="H60" s="269">
        <v>7.4</v>
      </c>
      <c r="I60" s="91">
        <v>7.5</v>
      </c>
      <c r="J60" s="269">
        <v>7.3</v>
      </c>
      <c r="K60" s="269">
        <v>7.3</v>
      </c>
      <c r="L60" s="91">
        <v>7.2</v>
      </c>
      <c r="M60" s="91">
        <v>7.3</v>
      </c>
      <c r="N60" s="91">
        <v>7.3</v>
      </c>
      <c r="O60" s="91">
        <v>7.2</v>
      </c>
      <c r="P60" s="91">
        <v>7.3</v>
      </c>
      <c r="Q60" s="395">
        <v>7.3</v>
      </c>
      <c r="R60" s="170">
        <f>MAX(F60:Q60)</f>
        <v>7.5</v>
      </c>
      <c r="S60" s="91">
        <f>MIN(F60:Q60)</f>
        <v>7.2</v>
      </c>
      <c r="T60" s="395">
        <f>AVERAGEA(F60:Q60)</f>
        <v>7.3166666666666664</v>
      </c>
      <c r="U60" s="595"/>
      <c r="V60" s="2"/>
    </row>
    <row r="61" spans="2:22" ht="12" customHeight="1" x14ac:dyDescent="0.15">
      <c r="B61" s="19">
        <f t="shared" si="0"/>
        <v>48</v>
      </c>
      <c r="C61" s="592" t="s">
        <v>55</v>
      </c>
      <c r="D61" s="593"/>
      <c r="E61" s="11" t="s">
        <v>121</v>
      </c>
      <c r="F61" s="171" t="s">
        <v>271</v>
      </c>
      <c r="G61" s="234" t="s">
        <v>271</v>
      </c>
      <c r="H61" s="264" t="s">
        <v>271</v>
      </c>
      <c r="I61" s="234" t="s">
        <v>328</v>
      </c>
      <c r="J61" s="264" t="s">
        <v>271</v>
      </c>
      <c r="K61" s="264" t="s">
        <v>271</v>
      </c>
      <c r="L61" s="234" t="s">
        <v>271</v>
      </c>
      <c r="M61" s="234" t="s">
        <v>271</v>
      </c>
      <c r="N61" s="234" t="s">
        <v>271</v>
      </c>
      <c r="O61" s="234" t="s">
        <v>271</v>
      </c>
      <c r="P61" s="234" t="s">
        <v>271</v>
      </c>
      <c r="Q61" s="392" t="s">
        <v>271</v>
      </c>
      <c r="R61" s="171"/>
      <c r="S61" s="234"/>
      <c r="T61" s="392"/>
      <c r="U61" s="595"/>
      <c r="V61" s="2"/>
    </row>
    <row r="62" spans="2:22" ht="12" customHeight="1" x14ac:dyDescent="0.15">
      <c r="B62" s="19">
        <f t="shared" si="0"/>
        <v>49</v>
      </c>
      <c r="C62" s="592" t="s">
        <v>56</v>
      </c>
      <c r="D62" s="593"/>
      <c r="E62" s="11" t="s">
        <v>121</v>
      </c>
      <c r="F62" s="171" t="s">
        <v>271</v>
      </c>
      <c r="G62" s="234" t="s">
        <v>271</v>
      </c>
      <c r="H62" s="264" t="s">
        <v>271</v>
      </c>
      <c r="I62" s="234" t="s">
        <v>328</v>
      </c>
      <c r="J62" s="264" t="s">
        <v>271</v>
      </c>
      <c r="K62" s="264" t="s">
        <v>271</v>
      </c>
      <c r="L62" s="234" t="s">
        <v>271</v>
      </c>
      <c r="M62" s="234" t="s">
        <v>271</v>
      </c>
      <c r="N62" s="234" t="s">
        <v>271</v>
      </c>
      <c r="O62" s="234" t="s">
        <v>271</v>
      </c>
      <c r="P62" s="234" t="s">
        <v>271</v>
      </c>
      <c r="Q62" s="392" t="s">
        <v>271</v>
      </c>
      <c r="R62" s="171"/>
      <c r="S62" s="234"/>
      <c r="T62" s="392"/>
      <c r="U62" s="595"/>
      <c r="V62" s="2"/>
    </row>
    <row r="63" spans="2:22" ht="12" customHeight="1" x14ac:dyDescent="0.15">
      <c r="B63" s="19">
        <f t="shared" si="0"/>
        <v>50</v>
      </c>
      <c r="C63" s="592" t="s">
        <v>57</v>
      </c>
      <c r="D63" s="593"/>
      <c r="E63" s="11" t="s">
        <v>119</v>
      </c>
      <c r="F63" s="170" t="s">
        <v>326</v>
      </c>
      <c r="G63" s="91" t="s">
        <v>326</v>
      </c>
      <c r="H63" s="269" t="s">
        <v>326</v>
      </c>
      <c r="I63" s="91">
        <v>0.7</v>
      </c>
      <c r="J63" s="269" t="s">
        <v>326</v>
      </c>
      <c r="K63" s="269" t="s">
        <v>326</v>
      </c>
      <c r="L63" s="179" t="s">
        <v>326</v>
      </c>
      <c r="M63" s="179" t="s">
        <v>326</v>
      </c>
      <c r="N63" s="179" t="s">
        <v>326</v>
      </c>
      <c r="O63" s="91" t="s">
        <v>326</v>
      </c>
      <c r="P63" s="179" t="s">
        <v>326</v>
      </c>
      <c r="Q63" s="395" t="s">
        <v>326</v>
      </c>
      <c r="R63" s="170">
        <f>IF(MAXA(F63:Q63)&lt;0.5,"&lt;0.5",MAXA(F63:Q63))</f>
        <v>0.7</v>
      </c>
      <c r="S63" s="91" t="str">
        <f>IF(MINA(F63:Q63)&lt;0.5,"&lt;0.5",MINA(F63:Q63))</f>
        <v>&lt;0.5</v>
      </c>
      <c r="T63" s="395" t="str">
        <f>IF(AVERAGEA(F63:Q63)&lt;0.5,"&lt;0.5",AVERAGEA(F63:Q63))</f>
        <v>&lt;0.5</v>
      </c>
      <c r="U63" s="595"/>
      <c r="V63" s="2"/>
    </row>
    <row r="64" spans="2:22" ht="12" customHeight="1" thickBot="1" x14ac:dyDescent="0.2">
      <c r="B64" s="24">
        <f t="shared" si="0"/>
        <v>51</v>
      </c>
      <c r="C64" s="606" t="s">
        <v>58</v>
      </c>
      <c r="D64" s="607"/>
      <c r="E64" s="25" t="s">
        <v>120</v>
      </c>
      <c r="F64" s="183" t="s">
        <v>310</v>
      </c>
      <c r="G64" s="261" t="s">
        <v>310</v>
      </c>
      <c r="H64" s="261" t="s">
        <v>310</v>
      </c>
      <c r="I64" s="261" t="s">
        <v>310</v>
      </c>
      <c r="J64" s="261" t="s">
        <v>310</v>
      </c>
      <c r="K64" s="261" t="s">
        <v>310</v>
      </c>
      <c r="L64" s="369" t="s">
        <v>310</v>
      </c>
      <c r="M64" s="414" t="s">
        <v>310</v>
      </c>
      <c r="N64" s="442" t="s">
        <v>310</v>
      </c>
      <c r="O64" s="300" t="s">
        <v>310</v>
      </c>
      <c r="P64" s="479" t="s">
        <v>310</v>
      </c>
      <c r="Q64" s="464" t="s">
        <v>310</v>
      </c>
      <c r="R64" s="487" t="str">
        <f>IF(MAXA(F64:Q64)&lt;0.1,"&lt;0.1",MAXA(F64:Q64))</f>
        <v>&lt;0.1</v>
      </c>
      <c r="S64" s="488" t="str">
        <f>IF(MINA(F64:Q64)&lt;0.1,"&lt;0.1",MINA(F64:Q64))</f>
        <v>&lt;0.1</v>
      </c>
      <c r="T64" s="399" t="str">
        <f>IF(AVERAGEA(F64:Q64)&lt;0.1,"&lt;0.1",AVERAGEA(F64:Q64))</f>
        <v>&lt;0.1</v>
      </c>
      <c r="U64" s="599"/>
      <c r="V64" s="2"/>
    </row>
    <row r="65" spans="2:22" ht="15" customHeight="1" thickBot="1" x14ac:dyDescent="0.2">
      <c r="B65" s="603" t="s">
        <v>126</v>
      </c>
      <c r="C65" s="604"/>
      <c r="D65" s="604"/>
      <c r="E65" s="605"/>
      <c r="F65" s="216" t="s">
        <v>272</v>
      </c>
      <c r="G65" s="122" t="s">
        <v>272</v>
      </c>
      <c r="H65" s="122" t="s">
        <v>272</v>
      </c>
      <c r="I65" s="122" t="s">
        <v>294</v>
      </c>
      <c r="J65" s="122" t="s">
        <v>272</v>
      </c>
      <c r="K65" s="122" t="s">
        <v>272</v>
      </c>
      <c r="L65" s="122" t="s">
        <v>272</v>
      </c>
      <c r="M65" s="122" t="s">
        <v>272</v>
      </c>
      <c r="N65" s="122" t="s">
        <v>272</v>
      </c>
      <c r="O65" s="122" t="s">
        <v>272</v>
      </c>
      <c r="P65" s="122" t="s">
        <v>272</v>
      </c>
      <c r="Q65" s="512" t="s">
        <v>272</v>
      </c>
      <c r="R65" s="480"/>
      <c r="S65" s="480"/>
      <c r="T65" s="480"/>
      <c r="V65" s="2"/>
    </row>
    <row r="66" spans="2:22" ht="15" customHeight="1" thickBot="1" x14ac:dyDescent="0.2">
      <c r="B66" s="603" t="s">
        <v>127</v>
      </c>
      <c r="C66" s="604"/>
      <c r="D66" s="604"/>
      <c r="E66" s="605"/>
      <c r="F66" s="166" t="s">
        <v>205</v>
      </c>
      <c r="G66" s="215" t="s">
        <v>521</v>
      </c>
      <c r="H66" s="215" t="s">
        <v>530</v>
      </c>
      <c r="I66" s="215" t="s">
        <v>196</v>
      </c>
      <c r="J66" s="215" t="s">
        <v>530</v>
      </c>
      <c r="K66" s="215" t="s">
        <v>530</v>
      </c>
      <c r="L66" s="215" t="s">
        <v>205</v>
      </c>
      <c r="M66" s="215" t="s">
        <v>530</v>
      </c>
      <c r="N66" s="215" t="s">
        <v>530</v>
      </c>
      <c r="O66" s="215" t="s">
        <v>205</v>
      </c>
      <c r="P66" s="215" t="s">
        <v>530</v>
      </c>
      <c r="Q66" s="402" t="s">
        <v>530</v>
      </c>
      <c r="S66" s="5"/>
      <c r="T66" s="104"/>
      <c r="V66" s="2"/>
    </row>
    <row r="67" spans="2:22" ht="12" customHeight="1" x14ac:dyDescent="0.15">
      <c r="C67" s="1"/>
      <c r="D67" s="1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602"/>
      <c r="S67" s="602"/>
      <c r="T67" s="602"/>
      <c r="V67" s="4"/>
    </row>
    <row r="68" spans="2:22" ht="12" customHeight="1" x14ac:dyDescent="0.15">
      <c r="B68" s="1"/>
      <c r="C68" s="3" t="s">
        <v>495</v>
      </c>
      <c r="D68" s="27"/>
      <c r="E68" s="27"/>
      <c r="F68" s="27"/>
      <c r="G68" s="27"/>
      <c r="H68" s="27"/>
      <c r="I68" s="27"/>
      <c r="J68" s="1"/>
      <c r="K68" s="1"/>
      <c r="L68" s="1"/>
      <c r="N68" s="1"/>
      <c r="O68" s="1"/>
      <c r="P68" s="1"/>
      <c r="Q68" s="1"/>
      <c r="R68" s="4"/>
      <c r="S68" s="1"/>
      <c r="T68" s="4"/>
      <c r="U68" s="1"/>
    </row>
    <row r="69" spans="2:22" ht="10.5" customHeight="1" x14ac:dyDescent="0.15">
      <c r="C69" s="27"/>
      <c r="D69" s="27"/>
      <c r="E69" s="27"/>
      <c r="F69" s="27"/>
      <c r="G69" s="27"/>
      <c r="H69" s="27"/>
      <c r="I69" s="27"/>
      <c r="L69" s="1"/>
    </row>
    <row r="70" spans="2:22" ht="10.5" customHeight="1" x14ac:dyDescent="0.15"/>
    <row r="71" spans="2:22" ht="10.5" customHeight="1" x14ac:dyDescent="0.15"/>
    <row r="72" spans="2:22" ht="10.5" customHeight="1" x14ac:dyDescent="0.15"/>
    <row r="73" spans="2:22" ht="10.5" customHeight="1" x14ac:dyDescent="0.15"/>
    <row r="74" spans="2:22" ht="10.5" customHeight="1" x14ac:dyDescent="0.15"/>
    <row r="75" spans="2:22" ht="10.5" customHeight="1" x14ac:dyDescent="0.15"/>
    <row r="76" spans="2:22" ht="10.5" customHeight="1" x14ac:dyDescent="0.15"/>
    <row r="77" spans="2:22" ht="10.5" customHeight="1" x14ac:dyDescent="0.15"/>
    <row r="78" spans="2:22" ht="10.5" customHeight="1" x14ac:dyDescent="0.15"/>
    <row r="79" spans="2:22" ht="10.5" customHeight="1" x14ac:dyDescent="0.15"/>
    <row r="80" spans="2:22" ht="15" customHeight="1" x14ac:dyDescent="0.15"/>
    <row r="81" ht="5.45" customHeight="1" x14ac:dyDescent="0.15"/>
  </sheetData>
  <mergeCells count="82">
    <mergeCell ref="B4:C4"/>
    <mergeCell ref="C15:D15"/>
    <mergeCell ref="C16:D16"/>
    <mergeCell ref="D8:E8"/>
    <mergeCell ref="D9:E9"/>
    <mergeCell ref="D12:E12"/>
    <mergeCell ref="B6:C12"/>
    <mergeCell ref="D10:E10"/>
    <mergeCell ref="D11:E11"/>
    <mergeCell ref="D6:E6"/>
    <mergeCell ref="D7:E7"/>
    <mergeCell ref="R67:T67"/>
    <mergeCell ref="B66:E66"/>
    <mergeCell ref="B65:E65"/>
    <mergeCell ref="B13:D13"/>
    <mergeCell ref="C14:D14"/>
    <mergeCell ref="C17:D17"/>
    <mergeCell ref="C18:D18"/>
    <mergeCell ref="C23:D23"/>
    <mergeCell ref="C24:D24"/>
    <mergeCell ref="C25:D25"/>
    <mergeCell ref="C26:D26"/>
    <mergeCell ref="C27:D27"/>
    <mergeCell ref="C28:D28"/>
    <mergeCell ref="C19:D19"/>
    <mergeCell ref="C20:D20"/>
    <mergeCell ref="C21:D21"/>
    <mergeCell ref="U22:U26"/>
    <mergeCell ref="U54:U58"/>
    <mergeCell ref="U59:U64"/>
    <mergeCell ref="U6:U12"/>
    <mergeCell ref="T6:T9"/>
    <mergeCell ref="U52:U53"/>
    <mergeCell ref="U27:U33"/>
    <mergeCell ref="U34:U44"/>
    <mergeCell ref="U45:U50"/>
    <mergeCell ref="G3:K3"/>
    <mergeCell ref="U14:U15"/>
    <mergeCell ref="U16:U21"/>
    <mergeCell ref="R6:R9"/>
    <mergeCell ref="S6:S9"/>
    <mergeCell ref="G4:K4"/>
    <mergeCell ref="F13:Q13"/>
    <mergeCell ref="R13:T13"/>
    <mergeCell ref="C38:D38"/>
    <mergeCell ref="C39:D39"/>
    <mergeCell ref="C40:D40"/>
    <mergeCell ref="C29:D29"/>
    <mergeCell ref="C30:D30"/>
    <mergeCell ref="C31:D31"/>
    <mergeCell ref="C32:D32"/>
    <mergeCell ref="C33:D33"/>
    <mergeCell ref="C35:D35"/>
    <mergeCell ref="B1:M1"/>
    <mergeCell ref="C50:D50"/>
    <mergeCell ref="C51:D51"/>
    <mergeCell ref="C41:D41"/>
    <mergeCell ref="C42:D42"/>
    <mergeCell ref="C43:D43"/>
    <mergeCell ref="C44:D44"/>
    <mergeCell ref="C45:D45"/>
    <mergeCell ref="C36:D36"/>
    <mergeCell ref="C37:D37"/>
    <mergeCell ref="C46:D46"/>
    <mergeCell ref="C47:D47"/>
    <mergeCell ref="C48:D48"/>
    <mergeCell ref="C49:D49"/>
    <mergeCell ref="C22:D22"/>
    <mergeCell ref="C34:D34"/>
    <mergeCell ref="C52:D52"/>
    <mergeCell ref="C64:D64"/>
    <mergeCell ref="C58:D58"/>
    <mergeCell ref="C59:D59"/>
    <mergeCell ref="C60:D60"/>
    <mergeCell ref="C61:D61"/>
    <mergeCell ref="C62:D62"/>
    <mergeCell ref="C63:D63"/>
    <mergeCell ref="C54:D54"/>
    <mergeCell ref="C55:D55"/>
    <mergeCell ref="C56:D56"/>
    <mergeCell ref="C57:D57"/>
    <mergeCell ref="C53:D53"/>
  </mergeCells>
  <phoneticPr fontId="4"/>
  <printOptions horizontalCentered="1"/>
  <pageMargins left="0.70866141732283472" right="0.70866141732283472" top="0.59055118110236227" bottom="0.19685039370078741" header="0" footer="0"/>
  <pageSetup paperSize="9" scale="70" orientation="landscape" r:id="rId1"/>
  <headerFooter alignWithMargins="0"/>
  <colBreaks count="1" manualBreakCount="1">
    <brk id="1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3">
    <pageSetUpPr fitToPage="1"/>
  </sheetPr>
  <dimension ref="B1:V81"/>
  <sheetViews>
    <sheetView zoomScaleNormal="100" zoomScaleSheetLayoutView="90" workbookViewId="0"/>
  </sheetViews>
  <sheetFormatPr defaultColWidth="8.875" defaultRowHeight="10.15" customHeight="1" x14ac:dyDescent="0.15"/>
  <cols>
    <col min="1" max="1" width="1.75" style="3" customWidth="1"/>
    <col min="2" max="2" width="3.125" style="3" customWidth="1"/>
    <col min="3" max="3" width="8.875" style="3" customWidth="1"/>
    <col min="4" max="4" width="14.25" style="3" customWidth="1"/>
    <col min="5" max="5" width="12.125" style="3" customWidth="1"/>
    <col min="6" max="20" width="7.5" style="3" customWidth="1"/>
    <col min="21" max="21" width="13.5" style="4" customWidth="1"/>
    <col min="22" max="22" width="3.5" style="3" customWidth="1"/>
    <col min="23" max="16384" width="8.875" style="3"/>
  </cols>
  <sheetData>
    <row r="1" spans="2:22" ht="20.100000000000001" customHeight="1" x14ac:dyDescent="0.15">
      <c r="B1" s="551" t="s">
        <v>685</v>
      </c>
      <c r="C1" s="551"/>
      <c r="D1" s="551"/>
      <c r="E1" s="551"/>
      <c r="F1" s="551"/>
      <c r="G1" s="551"/>
      <c r="H1" s="551"/>
      <c r="I1" s="551"/>
      <c r="J1" s="551"/>
      <c r="K1" s="551"/>
      <c r="L1" s="551"/>
      <c r="M1" s="551"/>
    </row>
    <row r="2" spans="2:22" ht="12" customHeight="1" thickBot="1" x14ac:dyDescent="0.2">
      <c r="C2" s="16"/>
    </row>
    <row r="3" spans="2:22" ht="16.899999999999999" customHeight="1" thickBot="1" x14ac:dyDescent="0.2">
      <c r="B3" s="4"/>
      <c r="C3" s="10"/>
      <c r="D3" s="12"/>
      <c r="E3" s="4"/>
      <c r="F3" s="41" t="s">
        <v>7</v>
      </c>
      <c r="G3" s="639" t="s">
        <v>8</v>
      </c>
      <c r="H3" s="639"/>
      <c r="I3" s="639"/>
      <c r="J3" s="639"/>
      <c r="K3" s="639"/>
      <c r="L3" s="4"/>
      <c r="M3" s="4"/>
      <c r="N3" s="4"/>
      <c r="O3" s="4"/>
      <c r="P3" s="4"/>
      <c r="Q3" s="4"/>
      <c r="R3" s="4"/>
      <c r="S3" s="4"/>
      <c r="T3" s="4"/>
      <c r="V3" s="4"/>
    </row>
    <row r="4" spans="2:22" ht="16.899999999999999" customHeight="1" thickBot="1" x14ac:dyDescent="0.2">
      <c r="B4" s="620" t="s">
        <v>23</v>
      </c>
      <c r="C4" s="621"/>
      <c r="D4" s="31" t="s">
        <v>146</v>
      </c>
      <c r="E4" s="4"/>
      <c r="F4" s="42"/>
      <c r="G4" s="646" t="s">
        <v>149</v>
      </c>
      <c r="H4" s="646"/>
      <c r="I4" s="646"/>
      <c r="J4" s="646"/>
      <c r="K4" s="646"/>
      <c r="L4" s="4"/>
      <c r="M4" s="4"/>
      <c r="N4" s="4"/>
      <c r="O4" s="4"/>
      <c r="P4" s="4"/>
      <c r="Q4" s="4"/>
      <c r="R4" s="4"/>
      <c r="S4" s="4"/>
      <c r="T4" s="4"/>
      <c r="V4" s="4"/>
    </row>
    <row r="5" spans="2:22" ht="10.15" customHeight="1" thickBot="1" x14ac:dyDescent="0.2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V5" s="4"/>
    </row>
    <row r="6" spans="2:22" ht="12" customHeight="1" x14ac:dyDescent="0.15">
      <c r="B6" s="624" t="s">
        <v>300</v>
      </c>
      <c r="C6" s="625"/>
      <c r="D6" s="628" t="s">
        <v>296</v>
      </c>
      <c r="E6" s="629"/>
      <c r="F6" s="167">
        <v>45028</v>
      </c>
      <c r="G6" s="233">
        <v>45056</v>
      </c>
      <c r="H6" s="233">
        <v>45084</v>
      </c>
      <c r="I6" s="233">
        <v>45112</v>
      </c>
      <c r="J6" s="233">
        <v>45140</v>
      </c>
      <c r="K6" s="233">
        <v>45175</v>
      </c>
      <c r="L6" s="374">
        <v>45203</v>
      </c>
      <c r="M6" s="233">
        <v>45238</v>
      </c>
      <c r="N6" s="233">
        <v>45266</v>
      </c>
      <c r="O6" s="233">
        <v>45301</v>
      </c>
      <c r="P6" s="233">
        <v>45329</v>
      </c>
      <c r="Q6" s="405">
        <v>45357</v>
      </c>
      <c r="R6" s="608" t="s">
        <v>0</v>
      </c>
      <c r="S6" s="612" t="s">
        <v>1</v>
      </c>
      <c r="T6" s="617" t="s">
        <v>2</v>
      </c>
      <c r="U6" s="577" t="s">
        <v>15</v>
      </c>
      <c r="V6" s="4"/>
    </row>
    <row r="7" spans="2:22" ht="12" customHeight="1" x14ac:dyDescent="0.15">
      <c r="B7" s="626"/>
      <c r="C7" s="627"/>
      <c r="D7" s="622" t="s">
        <v>14</v>
      </c>
      <c r="E7" s="623"/>
      <c r="F7" s="168">
        <v>0.46388888888888885</v>
      </c>
      <c r="G7" s="169">
        <v>0.55972222222222223</v>
      </c>
      <c r="H7" s="169">
        <v>0.54861111111111105</v>
      </c>
      <c r="I7" s="169">
        <v>0.56180555555555556</v>
      </c>
      <c r="J7" s="169">
        <v>0.59027777777777779</v>
      </c>
      <c r="K7" s="169">
        <v>0.56944444444444442</v>
      </c>
      <c r="L7" s="375">
        <v>0.51527777777777783</v>
      </c>
      <c r="M7" s="169">
        <v>0.58194444444444449</v>
      </c>
      <c r="N7" s="169">
        <v>0.4513888888888889</v>
      </c>
      <c r="O7" s="169">
        <v>0.45694444444444443</v>
      </c>
      <c r="P7" s="169">
        <v>0.44097222222222227</v>
      </c>
      <c r="Q7" s="406">
        <v>0.45347222222222222</v>
      </c>
      <c r="R7" s="609"/>
      <c r="S7" s="613"/>
      <c r="T7" s="618"/>
      <c r="U7" s="578"/>
      <c r="V7" s="4"/>
    </row>
    <row r="8" spans="2:22" ht="12" customHeight="1" x14ac:dyDescent="0.15">
      <c r="B8" s="626"/>
      <c r="C8" s="627"/>
      <c r="D8" s="622" t="s">
        <v>10</v>
      </c>
      <c r="E8" s="623"/>
      <c r="F8" s="169" t="s">
        <v>466</v>
      </c>
      <c r="G8" s="169" t="s">
        <v>466</v>
      </c>
      <c r="H8" s="169" t="s">
        <v>580</v>
      </c>
      <c r="I8" s="169" t="s">
        <v>302</v>
      </c>
      <c r="J8" s="169" t="s">
        <v>580</v>
      </c>
      <c r="K8" s="172" t="s">
        <v>302</v>
      </c>
      <c r="L8" s="363" t="s">
        <v>580</v>
      </c>
      <c r="M8" s="408" t="s">
        <v>508</v>
      </c>
      <c r="N8" s="169" t="s">
        <v>302</v>
      </c>
      <c r="O8" s="447" t="s">
        <v>557</v>
      </c>
      <c r="P8" s="478" t="s">
        <v>302</v>
      </c>
      <c r="Q8" s="406" t="s">
        <v>302</v>
      </c>
      <c r="R8" s="609"/>
      <c r="S8" s="613"/>
      <c r="T8" s="618"/>
      <c r="U8" s="578"/>
      <c r="V8" s="4"/>
    </row>
    <row r="9" spans="2:22" ht="12" customHeight="1" x14ac:dyDescent="0.15">
      <c r="B9" s="626"/>
      <c r="C9" s="627"/>
      <c r="D9" s="649" t="s">
        <v>11</v>
      </c>
      <c r="E9" s="650"/>
      <c r="F9" s="169" t="s">
        <v>525</v>
      </c>
      <c r="G9" s="169" t="s">
        <v>466</v>
      </c>
      <c r="H9" s="169" t="s">
        <v>529</v>
      </c>
      <c r="I9" s="169" t="s">
        <v>302</v>
      </c>
      <c r="J9" s="169" t="s">
        <v>302</v>
      </c>
      <c r="K9" s="172" t="s">
        <v>525</v>
      </c>
      <c r="L9" s="363" t="s">
        <v>580</v>
      </c>
      <c r="M9" s="408" t="s">
        <v>556</v>
      </c>
      <c r="N9" s="169" t="s">
        <v>580</v>
      </c>
      <c r="O9" s="447" t="s">
        <v>557</v>
      </c>
      <c r="P9" s="478" t="s">
        <v>302</v>
      </c>
      <c r="Q9" s="484" t="s">
        <v>302</v>
      </c>
      <c r="R9" s="610"/>
      <c r="S9" s="614"/>
      <c r="T9" s="619"/>
      <c r="U9" s="578"/>
      <c r="V9" s="4"/>
    </row>
    <row r="10" spans="2:22" ht="12" customHeight="1" x14ac:dyDescent="0.15">
      <c r="B10" s="626"/>
      <c r="C10" s="627"/>
      <c r="D10" s="649" t="s">
        <v>12</v>
      </c>
      <c r="E10" s="650"/>
      <c r="F10" s="170">
        <v>8.6999999999999993</v>
      </c>
      <c r="G10" s="91">
        <v>18.100000000000001</v>
      </c>
      <c r="H10" s="91">
        <v>22.1</v>
      </c>
      <c r="I10" s="91">
        <v>27</v>
      </c>
      <c r="J10" s="91">
        <v>30.6</v>
      </c>
      <c r="K10" s="91">
        <v>24</v>
      </c>
      <c r="L10" s="366">
        <v>22.9</v>
      </c>
      <c r="M10" s="91">
        <v>13.1</v>
      </c>
      <c r="N10" s="91">
        <v>10.5</v>
      </c>
      <c r="O10" s="91">
        <v>1.8</v>
      </c>
      <c r="P10" s="91">
        <v>2.7</v>
      </c>
      <c r="Q10" s="395">
        <v>2.2999999999999998</v>
      </c>
      <c r="R10" s="170">
        <f>MAX(F10:Q10)</f>
        <v>30.6</v>
      </c>
      <c r="S10" s="485">
        <f>MIN(F10:Q10)</f>
        <v>1.8</v>
      </c>
      <c r="T10" s="395">
        <f>AVERAGEA(F10:Q10)</f>
        <v>15.316666666666668</v>
      </c>
      <c r="U10" s="578"/>
      <c r="V10" s="4"/>
    </row>
    <row r="11" spans="2:22" ht="12" customHeight="1" x14ac:dyDescent="0.15">
      <c r="B11" s="626"/>
      <c r="C11" s="627"/>
      <c r="D11" s="649" t="s">
        <v>263</v>
      </c>
      <c r="E11" s="650"/>
      <c r="F11" s="170">
        <v>8.9</v>
      </c>
      <c r="G11" s="91">
        <v>8.9</v>
      </c>
      <c r="H11" s="91">
        <v>13.8</v>
      </c>
      <c r="I11" s="91">
        <v>19</v>
      </c>
      <c r="J11" s="91">
        <v>20</v>
      </c>
      <c r="K11" s="91">
        <v>15.5</v>
      </c>
      <c r="L11" s="366">
        <v>18.899999999999999</v>
      </c>
      <c r="M11" s="91">
        <v>12.1</v>
      </c>
      <c r="N11" s="91">
        <v>7.8</v>
      </c>
      <c r="O11" s="91">
        <v>5.5</v>
      </c>
      <c r="P11" s="91">
        <v>2.6</v>
      </c>
      <c r="Q11" s="395">
        <v>3.2</v>
      </c>
      <c r="R11" s="170">
        <f>MAX(F11:Q11)</f>
        <v>20</v>
      </c>
      <c r="S11" s="485">
        <f>MIN(F11:Q11)</f>
        <v>2.6</v>
      </c>
      <c r="T11" s="395">
        <f>AVERAGEA(F11:Q11)</f>
        <v>11.349999999999996</v>
      </c>
      <c r="U11" s="578"/>
      <c r="V11" s="4"/>
    </row>
    <row r="12" spans="2:22" ht="12" customHeight="1" thickBot="1" x14ac:dyDescent="0.2">
      <c r="B12" s="747"/>
      <c r="C12" s="748"/>
      <c r="D12" s="745" t="s">
        <v>4</v>
      </c>
      <c r="E12" s="746"/>
      <c r="F12" s="197">
        <v>0.52</v>
      </c>
      <c r="G12" s="275">
        <v>0.53</v>
      </c>
      <c r="H12" s="247">
        <v>0.59</v>
      </c>
      <c r="I12" s="330">
        <v>0.72</v>
      </c>
      <c r="J12" s="247">
        <v>0.66</v>
      </c>
      <c r="K12" s="247">
        <v>0.62</v>
      </c>
      <c r="L12" s="372">
        <v>0.71</v>
      </c>
      <c r="M12" s="416">
        <v>0.67</v>
      </c>
      <c r="N12" s="330">
        <v>0.67</v>
      </c>
      <c r="O12" s="330">
        <v>0.54</v>
      </c>
      <c r="P12" s="330">
        <v>0.55000000000000004</v>
      </c>
      <c r="Q12" s="463">
        <v>0.51</v>
      </c>
      <c r="R12" s="491">
        <f>MAX(F12:Q12)</f>
        <v>0.72</v>
      </c>
      <c r="S12" s="490">
        <f>MIN(F12:Q12)</f>
        <v>0.51</v>
      </c>
      <c r="T12" s="463">
        <f>AVERAGEA(F12:Q12)</f>
        <v>0.60750000000000004</v>
      </c>
      <c r="U12" s="579"/>
      <c r="V12" s="4"/>
    </row>
    <row r="13" spans="2:22" ht="15" customHeight="1" x14ac:dyDescent="0.15">
      <c r="B13" s="584" t="s">
        <v>125</v>
      </c>
      <c r="C13" s="585"/>
      <c r="D13" s="585"/>
      <c r="E13" s="32" t="s">
        <v>64</v>
      </c>
      <c r="F13" s="587" t="s">
        <v>3</v>
      </c>
      <c r="G13" s="658"/>
      <c r="H13" s="585"/>
      <c r="I13" s="585"/>
      <c r="J13" s="585"/>
      <c r="K13" s="585"/>
      <c r="L13" s="585"/>
      <c r="M13" s="585"/>
      <c r="N13" s="585"/>
      <c r="O13" s="585"/>
      <c r="P13" s="585"/>
      <c r="Q13" s="588"/>
      <c r="R13" s="587"/>
      <c r="S13" s="585"/>
      <c r="T13" s="588"/>
      <c r="U13" s="29"/>
      <c r="V13" s="4"/>
    </row>
    <row r="14" spans="2:22" ht="12" customHeight="1" x14ac:dyDescent="0.15">
      <c r="B14" s="19">
        <v>1</v>
      </c>
      <c r="C14" s="592" t="s">
        <v>24</v>
      </c>
      <c r="D14" s="593"/>
      <c r="E14" s="11" t="s">
        <v>105</v>
      </c>
      <c r="F14" s="171">
        <v>0</v>
      </c>
      <c r="G14" s="234">
        <v>0</v>
      </c>
      <c r="H14" s="234">
        <v>0</v>
      </c>
      <c r="I14" s="234">
        <v>0</v>
      </c>
      <c r="J14" s="234">
        <v>0</v>
      </c>
      <c r="K14" s="234">
        <v>0</v>
      </c>
      <c r="L14" s="234">
        <v>0</v>
      </c>
      <c r="M14" s="234">
        <v>0</v>
      </c>
      <c r="N14" s="234">
        <v>0</v>
      </c>
      <c r="O14" s="234">
        <v>0</v>
      </c>
      <c r="P14" s="234">
        <v>0</v>
      </c>
      <c r="Q14" s="392">
        <v>0</v>
      </c>
      <c r="R14" s="308">
        <f>IF(MAX(F14:Q14)=0,0,MAX(F14:Q14))</f>
        <v>0</v>
      </c>
      <c r="S14" s="358">
        <f>IF(MIN(F14:Q14)=0,0,MIN(F14:Q14))</f>
        <v>0</v>
      </c>
      <c r="T14" s="418">
        <f>IF(AVERAGEA(F14:Q14)=0,0,AVERAGEA(F14:Q14))</f>
        <v>0</v>
      </c>
      <c r="U14" s="594" t="s">
        <v>59</v>
      </c>
      <c r="V14" s="2"/>
    </row>
    <row r="15" spans="2:22" ht="12" customHeight="1" x14ac:dyDescent="0.15">
      <c r="B15" s="19">
        <f>B14+1</f>
        <v>2</v>
      </c>
      <c r="C15" s="592" t="s">
        <v>25</v>
      </c>
      <c r="D15" s="593"/>
      <c r="E15" s="15" t="s">
        <v>114</v>
      </c>
      <c r="F15" s="164" t="s">
        <v>303</v>
      </c>
      <c r="G15" s="172" t="s">
        <v>303</v>
      </c>
      <c r="H15" s="172" t="s">
        <v>303</v>
      </c>
      <c r="I15" s="172" t="s">
        <v>303</v>
      </c>
      <c r="J15" s="172" t="s">
        <v>303</v>
      </c>
      <c r="K15" s="172" t="s">
        <v>303</v>
      </c>
      <c r="L15" s="363" t="s">
        <v>303</v>
      </c>
      <c r="M15" s="408" t="s">
        <v>303</v>
      </c>
      <c r="N15" s="441" t="s">
        <v>303</v>
      </c>
      <c r="O15" s="447" t="s">
        <v>303</v>
      </c>
      <c r="P15" s="478" t="s">
        <v>303</v>
      </c>
      <c r="Q15" s="484" t="s">
        <v>303</v>
      </c>
      <c r="R15" s="489"/>
      <c r="S15" s="482"/>
      <c r="T15" s="484"/>
      <c r="U15" s="578"/>
      <c r="V15" s="2"/>
    </row>
    <row r="16" spans="2:22" ht="12" customHeight="1" x14ac:dyDescent="0.15">
      <c r="B16" s="19">
        <f t="shared" ref="B16:B64" si="0">B15+1</f>
        <v>3</v>
      </c>
      <c r="C16" s="592" t="s">
        <v>26</v>
      </c>
      <c r="D16" s="593"/>
      <c r="E16" s="11" t="s">
        <v>209</v>
      </c>
      <c r="F16" s="173"/>
      <c r="G16" s="179"/>
      <c r="H16" s="265"/>
      <c r="I16" s="179" t="s">
        <v>304</v>
      </c>
      <c r="J16" s="265"/>
      <c r="K16" s="265"/>
      <c r="L16" s="179"/>
      <c r="M16" s="179"/>
      <c r="N16" s="179"/>
      <c r="O16" s="179"/>
      <c r="P16" s="179"/>
      <c r="Q16" s="393"/>
      <c r="R16" s="239" t="str">
        <f>IF(MAXA(F16:Q16)&lt;0.0003,"&lt;0.0003",MAXA(F16:Q16))</f>
        <v>&lt;0.0003</v>
      </c>
      <c r="S16" s="179" t="str">
        <f>IF(MINA(F16:Q16)&lt;0.0003,"&lt;0.0003",MINA(F16:Q16))</f>
        <v>&lt;0.0003</v>
      </c>
      <c r="T16" s="393" t="str">
        <f>IF(AVERAGEA(F16:Q16)&lt;0.0003,"&lt;0.0003",AVERAGEA(F16:Q16))</f>
        <v>&lt;0.0003</v>
      </c>
      <c r="U16" s="595" t="s">
        <v>60</v>
      </c>
      <c r="V16" s="2"/>
    </row>
    <row r="17" spans="2:22" ht="12" customHeight="1" x14ac:dyDescent="0.15">
      <c r="B17" s="19">
        <f t="shared" si="0"/>
        <v>4</v>
      </c>
      <c r="C17" s="592" t="s">
        <v>27</v>
      </c>
      <c r="D17" s="593"/>
      <c r="E17" s="11" t="s">
        <v>106</v>
      </c>
      <c r="F17" s="174"/>
      <c r="G17" s="235"/>
      <c r="H17" s="266"/>
      <c r="I17" s="179" t="s">
        <v>305</v>
      </c>
      <c r="J17" s="266"/>
      <c r="K17" s="266"/>
      <c r="L17" s="235"/>
      <c r="M17" s="235"/>
      <c r="N17" s="235"/>
      <c r="O17" s="235"/>
      <c r="P17" s="235"/>
      <c r="Q17" s="394"/>
      <c r="R17" s="276" t="str">
        <f>IF(MAXA(F17:Q17)&lt;0.00005,"&lt;0.00005",MAXA(F17:Q17))</f>
        <v>&lt;0.00005</v>
      </c>
      <c r="S17" s="235" t="str">
        <f>IF(MINA(F17:Q17)&lt;0.00005,"&lt;0.00005",MINA(F17:Q17))</f>
        <v>&lt;0.00005</v>
      </c>
      <c r="T17" s="394" t="str">
        <f>IF(AVERAGEA(F17:Q17)&lt;0.00005,"&lt;0.00005",AVERAGEA(F17:Q17))</f>
        <v>&lt;0.00005</v>
      </c>
      <c r="U17" s="595"/>
      <c r="V17" s="2"/>
    </row>
    <row r="18" spans="2:22" ht="12" customHeight="1" x14ac:dyDescent="0.15">
      <c r="B18" s="19">
        <f t="shared" si="0"/>
        <v>5</v>
      </c>
      <c r="C18" s="592" t="s">
        <v>28</v>
      </c>
      <c r="D18" s="593"/>
      <c r="E18" s="11" t="s">
        <v>93</v>
      </c>
      <c r="F18" s="173"/>
      <c r="G18" s="179"/>
      <c r="H18" s="265"/>
      <c r="I18" s="179" t="s">
        <v>306</v>
      </c>
      <c r="J18" s="265"/>
      <c r="K18" s="265"/>
      <c r="L18" s="179"/>
      <c r="M18" s="179"/>
      <c r="N18" s="179"/>
      <c r="O18" s="179"/>
      <c r="P18" s="179"/>
      <c r="Q18" s="393"/>
      <c r="R18" s="239" t="str">
        <f t="shared" ref="R18:R23" si="1">IF(MAXA(F18:Q18)&lt;0.001,"&lt;0.001",MAXA(F18:Q18))</f>
        <v>&lt;0.001</v>
      </c>
      <c r="S18" s="179" t="str">
        <f t="shared" ref="S18:S23" si="2">IF(MINA(F18:Q18)&lt;0.001,"&lt;0.001",MINA(F18:Q18))</f>
        <v>&lt;0.001</v>
      </c>
      <c r="T18" s="393" t="str">
        <f t="shared" ref="T18:T23" si="3">IF(AVERAGEA(F18:Q18)&lt;0.001,"&lt;0.001",AVERAGEA(F18:Q18))</f>
        <v>&lt;0.001</v>
      </c>
      <c r="U18" s="595"/>
      <c r="V18" s="2"/>
    </row>
    <row r="19" spans="2:22" ht="12" customHeight="1" x14ac:dyDescent="0.15">
      <c r="B19" s="19">
        <f t="shared" si="0"/>
        <v>6</v>
      </c>
      <c r="C19" s="592" t="s">
        <v>29</v>
      </c>
      <c r="D19" s="593"/>
      <c r="E19" s="11" t="s">
        <v>93</v>
      </c>
      <c r="F19" s="173"/>
      <c r="G19" s="179"/>
      <c r="H19" s="265"/>
      <c r="I19" s="179" t="s">
        <v>306</v>
      </c>
      <c r="J19" s="265"/>
      <c r="K19" s="265"/>
      <c r="L19" s="179"/>
      <c r="M19" s="179"/>
      <c r="N19" s="179"/>
      <c r="O19" s="179"/>
      <c r="P19" s="179"/>
      <c r="Q19" s="393"/>
      <c r="R19" s="239" t="str">
        <f t="shared" si="1"/>
        <v>&lt;0.001</v>
      </c>
      <c r="S19" s="179" t="str">
        <f t="shared" si="2"/>
        <v>&lt;0.001</v>
      </c>
      <c r="T19" s="393" t="str">
        <f t="shared" si="3"/>
        <v>&lt;0.001</v>
      </c>
      <c r="U19" s="595"/>
      <c r="V19" s="2"/>
    </row>
    <row r="20" spans="2:22" ht="12" customHeight="1" x14ac:dyDescent="0.15">
      <c r="B20" s="19">
        <f t="shared" si="0"/>
        <v>7</v>
      </c>
      <c r="C20" s="592" t="s">
        <v>30</v>
      </c>
      <c r="D20" s="593"/>
      <c r="E20" s="11" t="s">
        <v>93</v>
      </c>
      <c r="F20" s="173"/>
      <c r="G20" s="179"/>
      <c r="H20" s="265"/>
      <c r="I20" s="179" t="s">
        <v>306</v>
      </c>
      <c r="J20" s="265"/>
      <c r="K20" s="265"/>
      <c r="L20" s="179"/>
      <c r="M20" s="179"/>
      <c r="N20" s="179"/>
      <c r="O20" s="179"/>
      <c r="P20" s="179"/>
      <c r="Q20" s="393"/>
      <c r="R20" s="239" t="str">
        <f t="shared" si="1"/>
        <v>&lt;0.001</v>
      </c>
      <c r="S20" s="179" t="str">
        <f t="shared" si="2"/>
        <v>&lt;0.001</v>
      </c>
      <c r="T20" s="393" t="str">
        <f t="shared" si="3"/>
        <v>&lt;0.001</v>
      </c>
      <c r="U20" s="595"/>
      <c r="V20" s="2"/>
    </row>
    <row r="21" spans="2:22" ht="12" customHeight="1" x14ac:dyDescent="0.15">
      <c r="B21" s="19">
        <f t="shared" si="0"/>
        <v>8</v>
      </c>
      <c r="C21" s="592" t="s">
        <v>31</v>
      </c>
      <c r="D21" s="593"/>
      <c r="E21" s="11" t="s">
        <v>96</v>
      </c>
      <c r="F21" s="173"/>
      <c r="G21" s="179"/>
      <c r="H21" s="265"/>
      <c r="I21" s="179" t="s">
        <v>307</v>
      </c>
      <c r="J21" s="265"/>
      <c r="K21" s="265"/>
      <c r="L21" s="179"/>
      <c r="M21" s="179"/>
      <c r="N21" s="179"/>
      <c r="O21" s="179"/>
      <c r="P21" s="179"/>
      <c r="Q21" s="393"/>
      <c r="R21" s="239" t="str">
        <f>IF(MAXA(F21:Q21)&lt;0.002,"&lt;0.002",MAXA(F21:Q21))</f>
        <v>&lt;0.002</v>
      </c>
      <c r="S21" s="179" t="str">
        <f>IF(MINA(F21:Q21)&lt;0.002,"&lt;0.002",MINA(F21:Q21))</f>
        <v>&lt;0.002</v>
      </c>
      <c r="T21" s="393" t="str">
        <f>IF(AVERAGEA(F21:Q21)&lt;0.002,"&lt;0.002",AVERAGEA(F21:Q21))</f>
        <v>&lt;0.002</v>
      </c>
      <c r="U21" s="595"/>
      <c r="V21" s="2"/>
    </row>
    <row r="22" spans="2:22" ht="12" customHeight="1" x14ac:dyDescent="0.15">
      <c r="B22" s="19">
        <f t="shared" si="0"/>
        <v>9</v>
      </c>
      <c r="C22" s="592" t="s">
        <v>210</v>
      </c>
      <c r="D22" s="611"/>
      <c r="E22" s="11" t="s">
        <v>88</v>
      </c>
      <c r="F22" s="173" t="s">
        <v>308</v>
      </c>
      <c r="G22" s="179"/>
      <c r="H22" s="265"/>
      <c r="I22" s="179" t="s">
        <v>308</v>
      </c>
      <c r="J22" s="265"/>
      <c r="K22" s="265"/>
      <c r="L22" s="179" t="s">
        <v>308</v>
      </c>
      <c r="M22" s="179"/>
      <c r="N22" s="179"/>
      <c r="O22" s="179" t="s">
        <v>308</v>
      </c>
      <c r="P22" s="179"/>
      <c r="Q22" s="393"/>
      <c r="R22" s="239" t="str">
        <f>IF(MAXA(F22:Q22)&lt;0.004,"&lt;0.004",MAXA(F22:Q22))</f>
        <v>&lt;0.004</v>
      </c>
      <c r="S22" s="179" t="str">
        <f>IF(MINA(F22:Q22)&lt;0.004,"&lt;0.004",MINA(F22:Q22))</f>
        <v>&lt;0.004</v>
      </c>
      <c r="T22" s="393" t="str">
        <f>IF(AVERAGEA(F22:Q22)&lt;0.004,"&lt;0.004",AVERAGEA(F22:Q22))</f>
        <v>&lt;0.004</v>
      </c>
      <c r="U22" s="594" t="s">
        <v>498</v>
      </c>
      <c r="V22" s="2"/>
    </row>
    <row r="23" spans="2:22" ht="12" customHeight="1" x14ac:dyDescent="0.15">
      <c r="B23" s="19">
        <f t="shared" si="0"/>
        <v>10</v>
      </c>
      <c r="C23" s="592" t="s">
        <v>32</v>
      </c>
      <c r="D23" s="593"/>
      <c r="E23" s="11" t="s">
        <v>93</v>
      </c>
      <c r="F23" s="173" t="s">
        <v>306</v>
      </c>
      <c r="G23" s="179"/>
      <c r="H23" s="265"/>
      <c r="I23" s="179" t="s">
        <v>306</v>
      </c>
      <c r="J23" s="265"/>
      <c r="K23" s="265"/>
      <c r="L23" s="179" t="s">
        <v>306</v>
      </c>
      <c r="M23" s="179"/>
      <c r="N23" s="179"/>
      <c r="O23" s="179" t="s">
        <v>306</v>
      </c>
      <c r="P23" s="179"/>
      <c r="Q23" s="393"/>
      <c r="R23" s="239" t="str">
        <f t="shared" si="1"/>
        <v>&lt;0.001</v>
      </c>
      <c r="S23" s="179" t="str">
        <f t="shared" si="2"/>
        <v>&lt;0.001</v>
      </c>
      <c r="T23" s="393" t="str">
        <f t="shared" si="3"/>
        <v>&lt;0.001</v>
      </c>
      <c r="U23" s="578"/>
      <c r="V23" s="2"/>
    </row>
    <row r="24" spans="2:22" ht="12" customHeight="1" x14ac:dyDescent="0.15">
      <c r="B24" s="19">
        <f t="shared" si="0"/>
        <v>11</v>
      </c>
      <c r="C24" s="592" t="s">
        <v>33</v>
      </c>
      <c r="D24" s="593"/>
      <c r="E24" s="11" t="s">
        <v>108</v>
      </c>
      <c r="F24" s="170">
        <v>0.15</v>
      </c>
      <c r="G24" s="91">
        <v>0.16</v>
      </c>
      <c r="H24" s="269" t="s">
        <v>586</v>
      </c>
      <c r="I24" s="91">
        <v>0.2</v>
      </c>
      <c r="J24" s="91">
        <v>0.15</v>
      </c>
      <c r="K24" s="91">
        <v>0.12</v>
      </c>
      <c r="L24" s="443">
        <v>0.41</v>
      </c>
      <c r="M24" s="315">
        <v>0.21</v>
      </c>
      <c r="N24" s="315">
        <v>0.24</v>
      </c>
      <c r="O24" s="315">
        <v>0.19</v>
      </c>
      <c r="P24" s="315">
        <v>0.19</v>
      </c>
      <c r="Q24" s="513">
        <v>0.18</v>
      </c>
      <c r="R24" s="486">
        <f>IF(MAXA(F24:Q24)&lt;0.1,"&lt;0.1",MAXA(F24:Q24))</f>
        <v>0.41</v>
      </c>
      <c r="S24" s="91" t="str">
        <f>IF(MINA(F24:Q24)&lt;0.1,"&lt;0.1",MINA(F24:Q24))</f>
        <v>&lt;0.1</v>
      </c>
      <c r="T24" s="395">
        <f>IF(AVERAGEA(F24:Q24)&lt;0.1,"&lt;0.1",AVERAGEA(F24:Q24))</f>
        <v>0.18333333333333335</v>
      </c>
      <c r="U24" s="578"/>
      <c r="V24" s="2"/>
    </row>
    <row r="25" spans="2:22" ht="12" customHeight="1" x14ac:dyDescent="0.15">
      <c r="B25" s="19">
        <f t="shared" si="0"/>
        <v>12</v>
      </c>
      <c r="C25" s="592" t="s">
        <v>34</v>
      </c>
      <c r="D25" s="593"/>
      <c r="E25" s="11" t="s">
        <v>109</v>
      </c>
      <c r="F25" s="177"/>
      <c r="G25" s="178"/>
      <c r="H25" s="268"/>
      <c r="I25" s="179" t="s">
        <v>309</v>
      </c>
      <c r="J25" s="268"/>
      <c r="K25" s="268"/>
      <c r="L25" s="178"/>
      <c r="M25" s="178"/>
      <c r="N25" s="178"/>
      <c r="O25" s="178"/>
      <c r="P25" s="178"/>
      <c r="Q25" s="396"/>
      <c r="R25" s="178" t="str">
        <f>IF(MAXA(F25:Q25)&lt;0.08,"&lt;0.08",MAXA(F25:Q25))</f>
        <v>&lt;0.08</v>
      </c>
      <c r="S25" s="178" t="str">
        <f>IF(MINA(F25:Q25)&lt;0.08,"&lt;0.08",MINA(F25:Q25))</f>
        <v>&lt;0.08</v>
      </c>
      <c r="T25" s="396" t="str">
        <f>IF(AVERAGEA(F25:Q25)&lt;0.08,"&lt;0.08",AVERAGEA(F25:Q25))</f>
        <v>&lt;0.08</v>
      </c>
      <c r="U25" s="578"/>
      <c r="V25" s="2"/>
    </row>
    <row r="26" spans="2:22" ht="12" customHeight="1" x14ac:dyDescent="0.15">
      <c r="B26" s="19">
        <f t="shared" si="0"/>
        <v>13</v>
      </c>
      <c r="C26" s="592" t="s">
        <v>35</v>
      </c>
      <c r="D26" s="593"/>
      <c r="E26" s="11" t="s">
        <v>110</v>
      </c>
      <c r="F26" s="170"/>
      <c r="G26" s="91"/>
      <c r="H26" s="269"/>
      <c r="I26" s="179" t="s">
        <v>310</v>
      </c>
      <c r="J26" s="269"/>
      <c r="K26" s="269"/>
      <c r="L26" s="91"/>
      <c r="M26" s="91"/>
      <c r="N26" s="91"/>
      <c r="O26" s="91"/>
      <c r="P26" s="91"/>
      <c r="Q26" s="395"/>
      <c r="R26" s="91" t="str">
        <f>IF(MAXA(F26:Q26)&lt;0.1,"&lt;0.1",MAXA(F26:Q26))</f>
        <v>&lt;0.1</v>
      </c>
      <c r="S26" s="91" t="str">
        <f>IF(MINA(F26:Q26)&lt;0.1,"&lt;0.1",MINA(F26:Q26))</f>
        <v>&lt;0.1</v>
      </c>
      <c r="T26" s="395" t="str">
        <f>IF(AVERAGEA(F26:Q26)&lt;0.1,"&lt;0.1",AVERAGEA(F26:Q26))</f>
        <v>&lt;0.1</v>
      </c>
      <c r="U26" s="596"/>
      <c r="V26" s="2"/>
    </row>
    <row r="27" spans="2:22" ht="12" customHeight="1" x14ac:dyDescent="0.15">
      <c r="B27" s="19">
        <f t="shared" si="0"/>
        <v>14</v>
      </c>
      <c r="C27" s="592" t="s">
        <v>36</v>
      </c>
      <c r="D27" s="593"/>
      <c r="E27" s="11" t="s">
        <v>111</v>
      </c>
      <c r="F27" s="176"/>
      <c r="G27" s="237"/>
      <c r="H27" s="270"/>
      <c r="I27" s="179" t="s">
        <v>311</v>
      </c>
      <c r="J27" s="270"/>
      <c r="K27" s="270"/>
      <c r="L27" s="237"/>
      <c r="M27" s="237"/>
      <c r="N27" s="237"/>
      <c r="O27" s="237"/>
      <c r="P27" s="237"/>
      <c r="Q27" s="397"/>
      <c r="R27" s="237" t="str">
        <f>IF(MAXA(F27:Q27)&lt;0.0002,"&lt;0.0002",MAXA(F27:Q27))</f>
        <v>&lt;0.0002</v>
      </c>
      <c r="S27" s="237" t="str">
        <f>IF(MINA(F27:Q27)&lt;0.0002,"&lt;0.0002",MINA(F27:Q27))</f>
        <v>&lt;0.0002</v>
      </c>
      <c r="T27" s="397" t="str">
        <f>IF(AVERAGEA(F27:Q27)&lt;0.0002,"&lt;0.0002",AVERAGEA(F27:Q27))</f>
        <v>&lt;0.0002</v>
      </c>
      <c r="U27" s="595" t="s">
        <v>62</v>
      </c>
      <c r="V27" s="2"/>
    </row>
    <row r="28" spans="2:22" ht="12" customHeight="1" x14ac:dyDescent="0.15">
      <c r="B28" s="19">
        <f t="shared" si="0"/>
        <v>15</v>
      </c>
      <c r="C28" s="592" t="s">
        <v>187</v>
      </c>
      <c r="D28" s="593"/>
      <c r="E28" s="11" t="s">
        <v>107</v>
      </c>
      <c r="F28" s="173"/>
      <c r="G28" s="179"/>
      <c r="H28" s="265"/>
      <c r="I28" s="179" t="s">
        <v>312</v>
      </c>
      <c r="J28" s="265"/>
      <c r="K28" s="265"/>
      <c r="L28" s="179"/>
      <c r="M28" s="179"/>
      <c r="N28" s="179"/>
      <c r="O28" s="179"/>
      <c r="P28" s="179"/>
      <c r="Q28" s="393"/>
      <c r="R28" s="239" t="str">
        <f>IF(MAXA(F28:Q28)&lt;0.005,"&lt;0.005",MAXA(F28:Q28))</f>
        <v>&lt;0.005</v>
      </c>
      <c r="S28" s="179" t="str">
        <f>IF(MINA(F28:Q28)&lt;0.005,"&lt;0.005",MINA(F28:Q28))</f>
        <v>&lt;0.005</v>
      </c>
      <c r="T28" s="393" t="str">
        <f>IF(AVERAGEA(F28:Q28)&lt;0.005,"&lt;0.005",AVERAGEA(F28:Q28))</f>
        <v>&lt;0.005</v>
      </c>
      <c r="U28" s="595"/>
      <c r="V28" s="2"/>
    </row>
    <row r="29" spans="2:22" ht="24" customHeight="1" x14ac:dyDescent="0.15">
      <c r="B29" s="19">
        <f>B28+1</f>
        <v>16</v>
      </c>
      <c r="C29" s="597" t="s">
        <v>256</v>
      </c>
      <c r="D29" s="593"/>
      <c r="E29" s="11" t="s">
        <v>88</v>
      </c>
      <c r="F29" s="173"/>
      <c r="G29" s="179"/>
      <c r="H29" s="265"/>
      <c r="I29" s="179" t="s">
        <v>307</v>
      </c>
      <c r="J29" s="265"/>
      <c r="K29" s="265"/>
      <c r="L29" s="179"/>
      <c r="M29" s="179"/>
      <c r="N29" s="179"/>
      <c r="O29" s="179"/>
      <c r="P29" s="179"/>
      <c r="Q29" s="393"/>
      <c r="R29" s="179" t="str">
        <f>IF(MAXA(F29:Q29)&lt;0.002,"&lt;0.002",MAXA(F29:Q29))</f>
        <v>&lt;0.002</v>
      </c>
      <c r="S29" s="179" t="str">
        <f>IF(MINA(F29:Q29)&lt;0.002,"&lt;0.002",MINA(F29:Q29))</f>
        <v>&lt;0.002</v>
      </c>
      <c r="T29" s="393" t="str">
        <f>IF(AVERAGEA(F29:Q29)&lt;0.002,"&lt;0.002",AVERAGEA(F29:Q29))</f>
        <v>&lt;0.002</v>
      </c>
      <c r="U29" s="595"/>
      <c r="V29" s="2"/>
    </row>
    <row r="30" spans="2:22" ht="12" customHeight="1" x14ac:dyDescent="0.15">
      <c r="B30" s="19">
        <f t="shared" si="0"/>
        <v>17</v>
      </c>
      <c r="C30" s="592" t="s">
        <v>188</v>
      </c>
      <c r="D30" s="593"/>
      <c r="E30" s="11" t="s">
        <v>96</v>
      </c>
      <c r="F30" s="173"/>
      <c r="G30" s="179"/>
      <c r="H30" s="265"/>
      <c r="I30" s="179" t="s">
        <v>306</v>
      </c>
      <c r="J30" s="265"/>
      <c r="K30" s="265"/>
      <c r="L30" s="179"/>
      <c r="M30" s="179"/>
      <c r="N30" s="179"/>
      <c r="O30" s="179"/>
      <c r="P30" s="179"/>
      <c r="Q30" s="393"/>
      <c r="R30" s="179" t="str">
        <f>IF(MAXA(F30:Q30)&lt;0.001,"&lt;0.001",MAXA(F30:Q30))</f>
        <v>&lt;0.001</v>
      </c>
      <c r="S30" s="179" t="str">
        <f>IF(MINA(F30:Q30)&lt;0.001,"&lt;0.001",MINA(F30:Q30))</f>
        <v>&lt;0.001</v>
      </c>
      <c r="T30" s="393" t="str">
        <f>IF(AVERAGEA(F30:Q30)&lt;0.001,"&lt;0.001",AVERAGEA(F30:Q30))</f>
        <v>&lt;0.001</v>
      </c>
      <c r="U30" s="595"/>
      <c r="V30" s="2"/>
    </row>
    <row r="31" spans="2:22" ht="12" customHeight="1" x14ac:dyDescent="0.15">
      <c r="B31" s="19">
        <f t="shared" si="0"/>
        <v>18</v>
      </c>
      <c r="C31" s="592" t="s">
        <v>189</v>
      </c>
      <c r="D31" s="593"/>
      <c r="E31" s="11" t="s">
        <v>93</v>
      </c>
      <c r="F31" s="173"/>
      <c r="G31" s="179"/>
      <c r="H31" s="265"/>
      <c r="I31" s="179" t="s">
        <v>306</v>
      </c>
      <c r="J31" s="265"/>
      <c r="K31" s="265"/>
      <c r="L31" s="179"/>
      <c r="M31" s="179"/>
      <c r="N31" s="179"/>
      <c r="O31" s="179"/>
      <c r="P31" s="179"/>
      <c r="Q31" s="393"/>
      <c r="R31" s="179" t="str">
        <f>IF(MAXA(F31:Q31)&lt;0.001,"&lt;0.001",MAXA(F31:Q31))</f>
        <v>&lt;0.001</v>
      </c>
      <c r="S31" s="179" t="str">
        <f>IF(MINA(F31:Q31)&lt;0.001,"&lt;0.001",MINA(F31:Q31))</f>
        <v>&lt;0.001</v>
      </c>
      <c r="T31" s="393" t="str">
        <f>IF(AVERAGEA(F31:Q31)&lt;0.001,"&lt;0.001",AVERAGEA(F31:Q31))</f>
        <v>&lt;0.001</v>
      </c>
      <c r="U31" s="595"/>
      <c r="V31" s="2"/>
    </row>
    <row r="32" spans="2:22" ht="12" customHeight="1" x14ac:dyDescent="0.15">
      <c r="B32" s="19">
        <f t="shared" si="0"/>
        <v>19</v>
      </c>
      <c r="C32" s="592" t="s">
        <v>190</v>
      </c>
      <c r="D32" s="593"/>
      <c r="E32" s="11" t="s">
        <v>93</v>
      </c>
      <c r="F32" s="173"/>
      <c r="G32" s="179"/>
      <c r="H32" s="265"/>
      <c r="I32" s="179" t="s">
        <v>306</v>
      </c>
      <c r="J32" s="265"/>
      <c r="K32" s="265"/>
      <c r="L32" s="179"/>
      <c r="M32" s="179"/>
      <c r="N32" s="179"/>
      <c r="O32" s="179"/>
      <c r="P32" s="179"/>
      <c r="Q32" s="393"/>
      <c r="R32" s="179" t="str">
        <f>IF(MAXA(F32:Q32)&lt;0.001,"&lt;0.001",MAXA(F32:Q32))</f>
        <v>&lt;0.001</v>
      </c>
      <c r="S32" s="179" t="str">
        <f>IF(MINA(F32:Q32)&lt;0.001,"&lt;0.001",MINA(F32:Q32))</f>
        <v>&lt;0.001</v>
      </c>
      <c r="T32" s="393" t="str">
        <f>IF(AVERAGEA(F32:Q32)&lt;0.001,"&lt;0.001",AVERAGEA(F32:Q32))</f>
        <v>&lt;0.001</v>
      </c>
      <c r="U32" s="595"/>
      <c r="V32" s="2"/>
    </row>
    <row r="33" spans="2:22" ht="12" customHeight="1" x14ac:dyDescent="0.15">
      <c r="B33" s="19">
        <f t="shared" si="0"/>
        <v>20</v>
      </c>
      <c r="C33" s="592" t="s">
        <v>191</v>
      </c>
      <c r="D33" s="593"/>
      <c r="E33" s="11" t="s">
        <v>93</v>
      </c>
      <c r="F33" s="173"/>
      <c r="G33" s="179"/>
      <c r="H33" s="265"/>
      <c r="I33" s="179" t="s">
        <v>306</v>
      </c>
      <c r="J33" s="265"/>
      <c r="K33" s="265"/>
      <c r="L33" s="179"/>
      <c r="M33" s="179"/>
      <c r="N33" s="179"/>
      <c r="O33" s="179"/>
      <c r="P33" s="179"/>
      <c r="Q33" s="393"/>
      <c r="R33" s="179" t="str">
        <f>IF(MAXA(F33:Q33)&lt;0.001,"&lt;0.001",MAXA(F33:Q33))</f>
        <v>&lt;0.001</v>
      </c>
      <c r="S33" s="179" t="str">
        <f>IF(MINA(F33:Q33)&lt;0.001,"&lt;0.001",MINA(F33:Q33))</f>
        <v>&lt;0.001</v>
      </c>
      <c r="T33" s="393" t="str">
        <f>IF(AVERAGEA(F33:Q33)&lt;0.001,"&lt;0.001",AVERAGEA(F33:Q33))</f>
        <v>&lt;0.001</v>
      </c>
      <c r="U33" s="595"/>
      <c r="V33" s="2"/>
    </row>
    <row r="34" spans="2:22" ht="12" customHeight="1" x14ac:dyDescent="0.15">
      <c r="B34" s="19">
        <f t="shared" si="0"/>
        <v>21</v>
      </c>
      <c r="C34" s="592" t="s">
        <v>252</v>
      </c>
      <c r="D34" s="593"/>
      <c r="E34" s="11" t="s">
        <v>91</v>
      </c>
      <c r="F34" s="173" t="s">
        <v>589</v>
      </c>
      <c r="G34" s="179"/>
      <c r="H34" s="265"/>
      <c r="I34" s="178" t="s">
        <v>589</v>
      </c>
      <c r="J34" s="265"/>
      <c r="K34" s="265"/>
      <c r="L34" s="178" t="s">
        <v>589</v>
      </c>
      <c r="M34" s="179"/>
      <c r="N34" s="179"/>
      <c r="O34" s="179" t="s">
        <v>322</v>
      </c>
      <c r="P34" s="179"/>
      <c r="Q34" s="393"/>
      <c r="R34" s="277" t="str">
        <f>IF(MAXA(F34:Q34)&lt;0.06,"&lt;0.06",MAXA(F34:Q34))</f>
        <v>&lt;0.06</v>
      </c>
      <c r="S34" s="179" t="str">
        <f>IF(MINA(F34:Q34)&lt;0.06,"&lt;0.06",MINA(F34:Q34))</f>
        <v>&lt;0.06</v>
      </c>
      <c r="T34" s="393" t="str">
        <f>IF(AVERAGEA(F34:Q34)&lt;0.06,"&lt;0.06",AVERAGEA(F34:Q34))</f>
        <v>&lt;0.06</v>
      </c>
      <c r="U34" s="594" t="s">
        <v>61</v>
      </c>
      <c r="V34" s="2"/>
    </row>
    <row r="35" spans="2:22" ht="12" customHeight="1" x14ac:dyDescent="0.15">
      <c r="B35" s="19">
        <f t="shared" si="0"/>
        <v>22</v>
      </c>
      <c r="C35" s="592" t="s">
        <v>37</v>
      </c>
      <c r="D35" s="593"/>
      <c r="E35" s="11" t="s">
        <v>96</v>
      </c>
      <c r="F35" s="173" t="s">
        <v>307</v>
      </c>
      <c r="G35" s="179"/>
      <c r="H35" s="265"/>
      <c r="I35" s="179" t="s">
        <v>307</v>
      </c>
      <c r="J35" s="265"/>
      <c r="K35" s="265"/>
      <c r="L35" s="179" t="s">
        <v>307</v>
      </c>
      <c r="M35" s="179"/>
      <c r="N35" s="179"/>
      <c r="O35" s="179" t="s">
        <v>307</v>
      </c>
      <c r="P35" s="179"/>
      <c r="Q35" s="393"/>
      <c r="R35" s="239" t="str">
        <f>IF(MAXA(F35:Q35)&lt;0.002,"&lt;0.002",MAXA(F35:Q35))</f>
        <v>&lt;0.002</v>
      </c>
      <c r="S35" s="179" t="str">
        <f>IF(MINA(F35:Q35)&lt;0.002,"&lt;0.002",MINA(F35:Q35))</f>
        <v>&lt;0.002</v>
      </c>
      <c r="T35" s="393" t="str">
        <f>IF(AVERAGEA(F35:Q35)&lt;0.002,"&lt;0.002",AVERAGEA(F35:Q35))</f>
        <v>&lt;0.002</v>
      </c>
      <c r="U35" s="578"/>
      <c r="V35" s="2"/>
    </row>
    <row r="36" spans="2:22" ht="12" customHeight="1" x14ac:dyDescent="0.15">
      <c r="B36" s="19">
        <f t="shared" si="0"/>
        <v>23</v>
      </c>
      <c r="C36" s="592" t="s">
        <v>171</v>
      </c>
      <c r="D36" s="593"/>
      <c r="E36" s="11" t="s">
        <v>113</v>
      </c>
      <c r="F36" s="173">
        <v>1E-3</v>
      </c>
      <c r="G36" s="179"/>
      <c r="H36" s="270"/>
      <c r="I36" s="179">
        <v>5.0000000000000001E-3</v>
      </c>
      <c r="J36" s="265"/>
      <c r="K36" s="265"/>
      <c r="L36" s="179">
        <v>1.0999999999999999E-2</v>
      </c>
      <c r="M36" s="179"/>
      <c r="N36" s="179"/>
      <c r="O36" s="179" t="s">
        <v>306</v>
      </c>
      <c r="P36" s="179"/>
      <c r="Q36" s="393"/>
      <c r="R36" s="239">
        <f>IF(MAXA(F36:Q36)&lt;0.001,"&lt;0.001",MAXA(F36:Q36))</f>
        <v>1.0999999999999999E-2</v>
      </c>
      <c r="S36" s="179" t="str">
        <f>IF(MINA(F36:Q36)&lt;0.001,"&lt;0.001",MINA(F36:Q36))</f>
        <v>&lt;0.001</v>
      </c>
      <c r="T36" s="393">
        <f>IF(AVERAGEA(F36:Q36)&lt;0.001,"&lt;0.001",AVERAGEA(F36:Q36))</f>
        <v>4.2500000000000003E-3</v>
      </c>
      <c r="U36" s="578"/>
      <c r="V36" s="2"/>
    </row>
    <row r="37" spans="2:22" ht="12" customHeight="1" x14ac:dyDescent="0.15">
      <c r="B37" s="19">
        <f t="shared" si="0"/>
        <v>24</v>
      </c>
      <c r="C37" s="592" t="s">
        <v>38</v>
      </c>
      <c r="D37" s="593"/>
      <c r="E37" s="11" t="s">
        <v>112</v>
      </c>
      <c r="F37" s="173" t="s">
        <v>323</v>
      </c>
      <c r="G37" s="179"/>
      <c r="H37" s="265"/>
      <c r="I37" s="179">
        <v>7.0000000000000001E-3</v>
      </c>
      <c r="J37" s="265"/>
      <c r="K37" s="265"/>
      <c r="L37" s="179">
        <v>1.0999999999999999E-2</v>
      </c>
      <c r="M37" s="179"/>
      <c r="N37" s="179"/>
      <c r="O37" s="179" t="s">
        <v>323</v>
      </c>
      <c r="P37" s="179"/>
      <c r="Q37" s="393"/>
      <c r="R37" s="239">
        <f>IF(MAXA(F37:Q37)&lt;0.003,"&lt;0.003",MAXA(F37:Q37))</f>
        <v>1.0999999999999999E-2</v>
      </c>
      <c r="S37" s="179" t="str">
        <f>IF(MINA(F37:Q37)&lt;0.003,"&lt;0.003",MINA(F37:Q37))</f>
        <v>&lt;0.003</v>
      </c>
      <c r="T37" s="393">
        <f>IF(AVERAGEA(F37:Q37)&lt;0.003,"&lt;0.003",AVERAGEA(F37:Q37))</f>
        <v>4.4999999999999997E-3</v>
      </c>
      <c r="U37" s="578"/>
      <c r="V37" s="2"/>
    </row>
    <row r="38" spans="2:22" ht="12" customHeight="1" x14ac:dyDescent="0.15">
      <c r="B38" s="19">
        <f t="shared" si="0"/>
        <v>25</v>
      </c>
      <c r="C38" s="592" t="s">
        <v>192</v>
      </c>
      <c r="D38" s="593"/>
      <c r="E38" s="11" t="s">
        <v>90</v>
      </c>
      <c r="F38" s="173">
        <v>1E-3</v>
      </c>
      <c r="G38" s="179"/>
      <c r="H38" s="265"/>
      <c r="I38" s="179">
        <v>2E-3</v>
      </c>
      <c r="J38" s="265"/>
      <c r="K38" s="265"/>
      <c r="L38" s="179">
        <v>2E-3</v>
      </c>
      <c r="M38" s="179"/>
      <c r="N38" s="179"/>
      <c r="O38" s="179" t="s">
        <v>612</v>
      </c>
      <c r="P38" s="179"/>
      <c r="Q38" s="393"/>
      <c r="R38" s="179">
        <f>IF(MAXA(F38:Q38)&lt;0.001,"&lt;0.001",MAXA(F38:Q38))</f>
        <v>2E-3</v>
      </c>
      <c r="S38" s="179" t="str">
        <f>IF(MINA(F38:Q38)&lt;0.001,"&lt;0.001",MINA(F38:Q38))</f>
        <v>&lt;0.001</v>
      </c>
      <c r="T38" s="393">
        <f>IF(AVERAGEA(F38:Q38)&lt;0.001,"&lt;0.001",AVERAGEA(F38:Q38))</f>
        <v>1.25E-3</v>
      </c>
      <c r="U38" s="578"/>
      <c r="V38" s="2"/>
    </row>
    <row r="39" spans="2:22" ht="12" customHeight="1" x14ac:dyDescent="0.15">
      <c r="B39" s="19">
        <f t="shared" si="0"/>
        <v>26</v>
      </c>
      <c r="C39" s="592" t="s">
        <v>39</v>
      </c>
      <c r="D39" s="593"/>
      <c r="E39" s="11" t="s">
        <v>93</v>
      </c>
      <c r="F39" s="173" t="s">
        <v>306</v>
      </c>
      <c r="G39" s="179"/>
      <c r="H39" s="265"/>
      <c r="I39" s="179" t="s">
        <v>306</v>
      </c>
      <c r="J39" s="265"/>
      <c r="K39" s="265"/>
      <c r="L39" s="179" t="s">
        <v>306</v>
      </c>
      <c r="M39" s="179"/>
      <c r="N39" s="179"/>
      <c r="O39" s="179" t="s">
        <v>306</v>
      </c>
      <c r="P39" s="179"/>
      <c r="Q39" s="393"/>
      <c r="R39" s="239" t="str">
        <f>IF(MAXA(F39:Q39)&lt;0.001,"&lt;0.001",MAXA(F39:Q39))</f>
        <v>&lt;0.001</v>
      </c>
      <c r="S39" s="179" t="str">
        <f>IF(MINA(F39:Q39)&lt;0.001,"&lt;0.001",MINA(F39:Q39))</f>
        <v>&lt;0.001</v>
      </c>
      <c r="T39" s="393" t="str">
        <f>IF(AVERAGEA(F39:Q39)&lt;0.001,"&lt;0.001",AVERAGEA(F39:Q39))</f>
        <v>&lt;0.001</v>
      </c>
      <c r="U39" s="578"/>
      <c r="V39" s="2"/>
    </row>
    <row r="40" spans="2:22" ht="12" customHeight="1" x14ac:dyDescent="0.15">
      <c r="B40" s="19">
        <f t="shared" si="0"/>
        <v>27</v>
      </c>
      <c r="C40" s="592" t="s">
        <v>40</v>
      </c>
      <c r="D40" s="593"/>
      <c r="E40" s="11" t="s">
        <v>90</v>
      </c>
      <c r="F40" s="173">
        <v>4.0000000000000001E-3</v>
      </c>
      <c r="G40" s="179"/>
      <c r="H40" s="265"/>
      <c r="I40" s="179">
        <v>1.0999999999999999E-2</v>
      </c>
      <c r="J40" s="265"/>
      <c r="K40" s="265"/>
      <c r="L40" s="179">
        <v>0.02</v>
      </c>
      <c r="M40" s="179"/>
      <c r="N40" s="179"/>
      <c r="O40" s="179" t="s">
        <v>308</v>
      </c>
      <c r="P40" s="179"/>
      <c r="Q40" s="393"/>
      <c r="R40" s="239">
        <f>IF(MAXA(F40:Q40)&lt;0.004,"&lt;0.004",MAXA(F40:Q40))</f>
        <v>0.02</v>
      </c>
      <c r="S40" s="179" t="str">
        <f>IF(MINA(F40:Q40)&lt;0.004,"&lt;0.004",MINA(F40:Q40))</f>
        <v>&lt;0.004</v>
      </c>
      <c r="T40" s="393">
        <f>IF(AVERAGEA(F40:Q40)&lt;0.004,"&lt;0.004",AVERAGEA(F40:Q40))</f>
        <v>8.7500000000000008E-3</v>
      </c>
      <c r="U40" s="578"/>
      <c r="V40" s="2"/>
    </row>
    <row r="41" spans="2:22" ht="12" customHeight="1" x14ac:dyDescent="0.15">
      <c r="B41" s="19">
        <f t="shared" si="0"/>
        <v>28</v>
      </c>
      <c r="C41" s="592" t="s">
        <v>41</v>
      </c>
      <c r="D41" s="593"/>
      <c r="E41" s="11" t="s">
        <v>112</v>
      </c>
      <c r="F41" s="173" t="s">
        <v>323</v>
      </c>
      <c r="G41" s="178"/>
      <c r="H41" s="268"/>
      <c r="I41" s="179">
        <v>4.0000000000000001E-3</v>
      </c>
      <c r="J41" s="268"/>
      <c r="K41" s="268"/>
      <c r="L41" s="179">
        <v>7.0000000000000001E-3</v>
      </c>
      <c r="M41" s="178"/>
      <c r="N41" s="178"/>
      <c r="O41" s="179" t="s">
        <v>323</v>
      </c>
      <c r="P41" s="178"/>
      <c r="Q41" s="396"/>
      <c r="R41" s="179">
        <f>IF(MAXA(F41:Q41)&lt;0.003,"&lt;0.003",MAXA(F41:Q41))</f>
        <v>7.0000000000000001E-3</v>
      </c>
      <c r="S41" s="179" t="str">
        <f>IF(MINA(F41:Q41)&lt;0.003,"&lt;0.003",MINA(F41:Q41))</f>
        <v>&lt;0.003</v>
      </c>
      <c r="T41" s="393" t="str">
        <f>IF(AVERAGEA(F41:Q41)&lt;0.003,"&lt;0.003",AVERAGEA(F41:Q41))</f>
        <v>&lt;0.003</v>
      </c>
      <c r="U41" s="578"/>
      <c r="V41" s="2"/>
    </row>
    <row r="42" spans="2:22" ht="12" customHeight="1" x14ac:dyDescent="0.15">
      <c r="B42" s="19">
        <f t="shared" si="0"/>
        <v>29</v>
      </c>
      <c r="C42" s="592" t="s">
        <v>193</v>
      </c>
      <c r="D42" s="593"/>
      <c r="E42" s="11" t="s">
        <v>112</v>
      </c>
      <c r="F42" s="173">
        <v>2E-3</v>
      </c>
      <c r="G42" s="237"/>
      <c r="H42" s="270"/>
      <c r="I42" s="179">
        <v>4.0000000000000001E-3</v>
      </c>
      <c r="J42" s="270"/>
      <c r="K42" s="270"/>
      <c r="L42" s="179">
        <v>7.0000000000000001E-3</v>
      </c>
      <c r="M42" s="179"/>
      <c r="N42" s="179"/>
      <c r="O42" s="179">
        <v>1E-3</v>
      </c>
      <c r="P42" s="179"/>
      <c r="Q42" s="393"/>
      <c r="R42" s="239">
        <f>IF(MAXA(F42:Q42)&lt;0.001,"&lt;0.001",MAXA(F42:Q42))</f>
        <v>7.0000000000000001E-3</v>
      </c>
      <c r="S42" s="179">
        <f>IF(MINA(F42:Q42)&lt;0.001,"&lt;0.001",MINA(F42:Q42))</f>
        <v>1E-3</v>
      </c>
      <c r="T42" s="393">
        <f>IF(AVERAGEA(F42:Q42)&lt;0.001,"&lt;0.001",AVERAGEA(F42:Q42))</f>
        <v>3.5000000000000005E-3</v>
      </c>
      <c r="U42" s="578"/>
      <c r="V42" s="2"/>
    </row>
    <row r="43" spans="2:22" ht="12" customHeight="1" x14ac:dyDescent="0.15">
      <c r="B43" s="19">
        <f t="shared" si="0"/>
        <v>30</v>
      </c>
      <c r="C43" s="592" t="s">
        <v>194</v>
      </c>
      <c r="D43" s="593"/>
      <c r="E43" s="11" t="s">
        <v>115</v>
      </c>
      <c r="F43" s="173" t="s">
        <v>306</v>
      </c>
      <c r="G43" s="179"/>
      <c r="H43" s="265"/>
      <c r="I43" s="179" t="s">
        <v>306</v>
      </c>
      <c r="J43" s="265"/>
      <c r="K43" s="265"/>
      <c r="L43" s="179" t="s">
        <v>306</v>
      </c>
      <c r="M43" s="179"/>
      <c r="N43" s="179"/>
      <c r="O43" s="179" t="s">
        <v>306</v>
      </c>
      <c r="P43" s="179"/>
      <c r="Q43" s="393"/>
      <c r="R43" s="278" t="str">
        <f>IF(MAXA(F43:Q43)&lt;0.001,"&lt;0.001",MAXA(F43:Q43))</f>
        <v>&lt;0.001</v>
      </c>
      <c r="S43" s="179" t="str">
        <f>IF(MINA(F43:Q43)&lt;0.001,"&lt;0.001",MINA(F43:Q43))</f>
        <v>&lt;0.001</v>
      </c>
      <c r="T43" s="393" t="str">
        <f>IF(AVERAGEA(F43:Q43)&lt;0.001,"&lt;0.001",AVERAGEA(F43:Q43))</f>
        <v>&lt;0.001</v>
      </c>
      <c r="U43" s="578"/>
      <c r="V43" s="2"/>
    </row>
    <row r="44" spans="2:22" ht="12" customHeight="1" x14ac:dyDescent="0.15">
      <c r="B44" s="19">
        <f t="shared" si="0"/>
        <v>31</v>
      </c>
      <c r="C44" s="592" t="s">
        <v>195</v>
      </c>
      <c r="D44" s="593"/>
      <c r="E44" s="11" t="s">
        <v>116</v>
      </c>
      <c r="F44" s="173" t="s">
        <v>321</v>
      </c>
      <c r="G44" s="179"/>
      <c r="H44" s="265"/>
      <c r="I44" s="179" t="s">
        <v>321</v>
      </c>
      <c r="J44" s="265"/>
      <c r="K44" s="265"/>
      <c r="L44" s="179" t="s">
        <v>321</v>
      </c>
      <c r="M44" s="179"/>
      <c r="N44" s="179"/>
      <c r="O44" s="179" t="s">
        <v>321</v>
      </c>
      <c r="P44" s="179"/>
      <c r="Q44" s="393"/>
      <c r="R44" s="239" t="str">
        <f>IF(MAXA(F44:Q44)&lt;0.008,"&lt;0.008",MAXA(F44:Q44))</f>
        <v>&lt;0.008</v>
      </c>
      <c r="S44" s="179" t="str">
        <f>IF(MINA(F44:Q44)&lt;0.008,"&lt;0.008",MINA(F44:Q44))</f>
        <v>&lt;0.008</v>
      </c>
      <c r="T44" s="393" t="str">
        <f>IF(AVERAGEA(F44:Q44)&lt;0.008,"&lt;0.008",AVERAGEA(F44:Q44))</f>
        <v>&lt;0.008</v>
      </c>
      <c r="U44" s="596"/>
      <c r="V44" s="2"/>
    </row>
    <row r="45" spans="2:22" ht="12" customHeight="1" x14ac:dyDescent="0.15">
      <c r="B45" s="19">
        <f t="shared" si="0"/>
        <v>32</v>
      </c>
      <c r="C45" s="592" t="s">
        <v>42</v>
      </c>
      <c r="D45" s="593"/>
      <c r="E45" s="11" t="s">
        <v>110</v>
      </c>
      <c r="F45" s="177"/>
      <c r="G45" s="178"/>
      <c r="H45" s="268"/>
      <c r="I45" s="179" t="s">
        <v>313</v>
      </c>
      <c r="J45" s="268"/>
      <c r="K45" s="268"/>
      <c r="L45" s="178"/>
      <c r="M45" s="178"/>
      <c r="N45" s="178"/>
      <c r="O45" s="178"/>
      <c r="P45" s="178"/>
      <c r="Q45" s="396"/>
      <c r="R45" s="178" t="str">
        <f>IF(MAXA(F45:Q45)&lt;0.001,"&lt;0.001",MAXA(F45:Q45))</f>
        <v>&lt;0.001</v>
      </c>
      <c r="S45" s="178" t="str">
        <f>IF(MINA(F45:Q45)&lt;0.001,"&lt;0.001",MINA(F45:Q45))</f>
        <v>&lt;0.001</v>
      </c>
      <c r="T45" s="396" t="str">
        <f>IF(AVERAGEA(F45:Q45)&lt;0.001,"&lt;0.001",AVERAGEA(F45:Q45))</f>
        <v>&lt;0.001</v>
      </c>
      <c r="U45" s="594" t="s">
        <v>60</v>
      </c>
      <c r="V45" s="2"/>
    </row>
    <row r="46" spans="2:22" ht="12" customHeight="1" x14ac:dyDescent="0.15">
      <c r="B46" s="19">
        <f t="shared" si="0"/>
        <v>33</v>
      </c>
      <c r="C46" s="592" t="s">
        <v>43</v>
      </c>
      <c r="D46" s="593"/>
      <c r="E46" s="11" t="s">
        <v>89</v>
      </c>
      <c r="F46" s="177"/>
      <c r="G46" s="178"/>
      <c r="H46" s="268"/>
      <c r="I46" s="178">
        <v>0.03</v>
      </c>
      <c r="J46" s="268"/>
      <c r="K46" s="268"/>
      <c r="L46" s="178"/>
      <c r="M46" s="178"/>
      <c r="N46" s="178"/>
      <c r="O46" s="178"/>
      <c r="P46" s="178"/>
      <c r="Q46" s="396"/>
      <c r="R46" s="178">
        <f>IF(MAXA(F46:Q46)&lt;0.001,"&lt;0.001",MAXA(F46:Q46))</f>
        <v>0.03</v>
      </c>
      <c r="S46" s="178">
        <f>IF(MINA(F46:Q46)&lt;0.001,"&lt;0.001",MINA(F46:Q46))</f>
        <v>0.03</v>
      </c>
      <c r="T46" s="396">
        <f>IF(AVERAGEA(F46:Q46)&lt;0.001,"&lt;0.001",AVERAGEA(F46:Q46))</f>
        <v>0.03</v>
      </c>
      <c r="U46" s="578"/>
      <c r="V46" s="2"/>
    </row>
    <row r="47" spans="2:22" ht="12" customHeight="1" x14ac:dyDescent="0.15">
      <c r="B47" s="19">
        <f t="shared" si="0"/>
        <v>34</v>
      </c>
      <c r="C47" s="592" t="s">
        <v>44</v>
      </c>
      <c r="D47" s="593"/>
      <c r="E47" s="11" t="s">
        <v>95</v>
      </c>
      <c r="F47" s="177"/>
      <c r="G47" s="178"/>
      <c r="H47" s="268"/>
      <c r="I47" s="179" t="s">
        <v>324</v>
      </c>
      <c r="J47" s="268"/>
      <c r="K47" s="268"/>
      <c r="L47" s="178"/>
      <c r="M47" s="178"/>
      <c r="N47" s="178"/>
      <c r="O47" s="178"/>
      <c r="P47" s="178"/>
      <c r="Q47" s="396"/>
      <c r="R47" s="179" t="str">
        <f>IF(MAXA(F47:Q47)&lt;0.03,"&lt;0.03",MAXA(F47:Q47))</f>
        <v>&lt;0.03</v>
      </c>
      <c r="S47" s="178" t="str">
        <f>IF(MINA(F47:Q47)&lt;0.03,"&lt;0.03",MINA(F47:Q47))</f>
        <v>&lt;0.03</v>
      </c>
      <c r="T47" s="393" t="str">
        <f>IF(AVERAGEA(F47:Q47)&lt;0.03,"&lt;0.03",AVERAGEA(F47:Q47))</f>
        <v>&lt;0.03</v>
      </c>
      <c r="U47" s="578"/>
      <c r="V47" s="2"/>
    </row>
    <row r="48" spans="2:22" ht="12" customHeight="1" x14ac:dyDescent="0.15">
      <c r="B48" s="19">
        <f t="shared" si="0"/>
        <v>35</v>
      </c>
      <c r="C48" s="592" t="s">
        <v>45</v>
      </c>
      <c r="D48" s="593"/>
      <c r="E48" s="11" t="s">
        <v>110</v>
      </c>
      <c r="F48" s="177"/>
      <c r="G48" s="178"/>
      <c r="H48" s="268"/>
      <c r="I48" s="179" t="s">
        <v>313</v>
      </c>
      <c r="J48" s="268"/>
      <c r="K48" s="268"/>
      <c r="L48" s="178"/>
      <c r="M48" s="178"/>
      <c r="N48" s="178"/>
      <c r="O48" s="178"/>
      <c r="P48" s="178"/>
      <c r="Q48" s="396"/>
      <c r="R48" s="178" t="str">
        <f>IF(MAXA(F48:Q48)&lt;0.01,"&lt;0.01",MAXA(F48:Q48))</f>
        <v>&lt;0.01</v>
      </c>
      <c r="S48" s="178" t="str">
        <f>IF(MINA(F48:Q48)&lt;0.01,"&lt;0.01",MINA(F48:Q48))</f>
        <v>&lt;0.01</v>
      </c>
      <c r="T48" s="396" t="str">
        <f>IF(AVERAGEA(F48:Q48)&lt;0.01,"&lt;0.01",AVERAGEA(F48:Q48))</f>
        <v>&lt;0.01</v>
      </c>
      <c r="U48" s="578"/>
      <c r="V48" s="2"/>
    </row>
    <row r="49" spans="2:22" ht="12" customHeight="1" x14ac:dyDescent="0.15">
      <c r="B49" s="19">
        <f t="shared" si="0"/>
        <v>36</v>
      </c>
      <c r="C49" s="592" t="s">
        <v>46</v>
      </c>
      <c r="D49" s="593"/>
      <c r="E49" s="11" t="s">
        <v>65</v>
      </c>
      <c r="F49" s="170"/>
      <c r="G49" s="91"/>
      <c r="H49" s="269"/>
      <c r="I49" s="234">
        <v>12</v>
      </c>
      <c r="J49" s="269"/>
      <c r="K49" s="269"/>
      <c r="L49" s="91"/>
      <c r="M49" s="91"/>
      <c r="N49" s="91"/>
      <c r="O49" s="91"/>
      <c r="P49" s="91"/>
      <c r="Q49" s="395"/>
      <c r="R49" s="234">
        <f>IF(MAXA(F49:Q49)&lt;0.5,"&lt;0.5",MAXA(F49:Q49))</f>
        <v>12</v>
      </c>
      <c r="S49" s="234">
        <f>IF(MINA(F49:Q49)&lt;0.5,"&lt;0.5",MINA(F49:Q49))</f>
        <v>12</v>
      </c>
      <c r="T49" s="392">
        <f>IF(AVERAGEA(F49:Q49)&lt;0.5,"&lt;0.5",AVERAGEA(F49:Q49))</f>
        <v>12</v>
      </c>
      <c r="U49" s="578"/>
      <c r="V49" s="2"/>
    </row>
    <row r="50" spans="2:22" ht="12" customHeight="1" x14ac:dyDescent="0.15">
      <c r="B50" s="19">
        <f t="shared" si="0"/>
        <v>37</v>
      </c>
      <c r="C50" s="592" t="s">
        <v>47</v>
      </c>
      <c r="D50" s="593"/>
      <c r="E50" s="11" t="s">
        <v>107</v>
      </c>
      <c r="F50" s="173"/>
      <c r="G50" s="179"/>
      <c r="H50" s="265"/>
      <c r="I50" s="179" t="s">
        <v>306</v>
      </c>
      <c r="J50" s="265"/>
      <c r="K50" s="265"/>
      <c r="L50" s="179"/>
      <c r="M50" s="179"/>
      <c r="N50" s="179"/>
      <c r="O50" s="179"/>
      <c r="P50" s="179"/>
      <c r="Q50" s="393"/>
      <c r="R50" s="239" t="str">
        <f>IF(MAXA(F50:Q50)&lt;0.001,"&lt;0.001",MAXA(F50:Q50))</f>
        <v>&lt;0.001</v>
      </c>
      <c r="S50" s="179" t="str">
        <f>IF(MINA(F50:Q50)&lt;0.001,"&lt;0.001",MINA(F50:Q50))</f>
        <v>&lt;0.001</v>
      </c>
      <c r="T50" s="393" t="str">
        <f>IF(AVERAGEA(F50:Q50)&lt;0.001,"&lt;0.001",AVERAGEA(F50:Q50))</f>
        <v>&lt;0.001</v>
      </c>
      <c r="U50" s="596"/>
      <c r="V50" s="2"/>
    </row>
    <row r="51" spans="2:22" ht="12" customHeight="1" x14ac:dyDescent="0.15">
      <c r="B51" s="19">
        <f t="shared" si="0"/>
        <v>38</v>
      </c>
      <c r="C51" s="592" t="s">
        <v>48</v>
      </c>
      <c r="D51" s="593"/>
      <c r="E51" s="11" t="s">
        <v>65</v>
      </c>
      <c r="F51" s="171">
        <v>13</v>
      </c>
      <c r="G51" s="234">
        <v>13</v>
      </c>
      <c r="H51" s="264">
        <v>11</v>
      </c>
      <c r="I51" s="234">
        <v>10</v>
      </c>
      <c r="J51" s="264">
        <v>10</v>
      </c>
      <c r="K51" s="264">
        <v>14</v>
      </c>
      <c r="L51" s="234">
        <v>11</v>
      </c>
      <c r="M51" s="234">
        <v>11</v>
      </c>
      <c r="N51" s="234">
        <v>14</v>
      </c>
      <c r="O51" s="234">
        <v>14</v>
      </c>
      <c r="P51" s="234">
        <v>15</v>
      </c>
      <c r="Q51" s="392">
        <v>15</v>
      </c>
      <c r="R51" s="234">
        <f>IF(MAXA(F51:Q51)&lt;0.1,"&lt;0.1",MAXA(F51:Q51))</f>
        <v>15</v>
      </c>
      <c r="S51" s="234">
        <f>IF(MINA(F51:Q51)&lt;0.1,"&lt;0.1",MINA(F51:Q51))</f>
        <v>10</v>
      </c>
      <c r="T51" s="392">
        <f>IF(AVERAGEA(F51:Q51)&lt;0.1,"&lt;0.1",AVERAGEA(F51:Q51))</f>
        <v>12.583333333333334</v>
      </c>
      <c r="U51" s="9" t="s">
        <v>499</v>
      </c>
      <c r="V51" s="2"/>
    </row>
    <row r="52" spans="2:22" ht="12" customHeight="1" x14ac:dyDescent="0.15">
      <c r="B52" s="19">
        <f t="shared" si="0"/>
        <v>39</v>
      </c>
      <c r="C52" s="592" t="s">
        <v>49</v>
      </c>
      <c r="D52" s="593"/>
      <c r="E52" s="11" t="s">
        <v>66</v>
      </c>
      <c r="F52" s="171"/>
      <c r="G52" s="234"/>
      <c r="H52" s="264"/>
      <c r="I52" s="234">
        <v>24</v>
      </c>
      <c r="J52" s="264"/>
      <c r="K52" s="264"/>
      <c r="L52" s="234"/>
      <c r="M52" s="234"/>
      <c r="N52" s="234"/>
      <c r="O52" s="234"/>
      <c r="P52" s="234"/>
      <c r="Q52" s="392"/>
      <c r="R52" s="234">
        <f>IF(MAXA(F52:Q52)&lt;3,"&lt;3",MAXA(F52:Q52))</f>
        <v>24</v>
      </c>
      <c r="S52" s="234">
        <f>IF(MINA(F52:Q52)&lt;3,"&lt;3",MINA(F52:Q52))</f>
        <v>24</v>
      </c>
      <c r="T52" s="392">
        <f>IF(AVERAGEA(F52:Q52)&lt;3,"&lt;3",AVERAGEA(F52:Q52))</f>
        <v>24</v>
      </c>
      <c r="U52" s="595" t="s">
        <v>500</v>
      </c>
      <c r="V52" s="2"/>
    </row>
    <row r="53" spans="2:22" ht="12" customHeight="1" x14ac:dyDescent="0.15">
      <c r="B53" s="19">
        <f t="shared" si="0"/>
        <v>40</v>
      </c>
      <c r="C53" s="592" t="s">
        <v>50</v>
      </c>
      <c r="D53" s="593"/>
      <c r="E53" s="11" t="s">
        <v>67</v>
      </c>
      <c r="F53" s="171"/>
      <c r="G53" s="234"/>
      <c r="H53" s="264"/>
      <c r="I53" s="234">
        <v>71</v>
      </c>
      <c r="J53" s="264"/>
      <c r="K53" s="264"/>
      <c r="L53" s="234"/>
      <c r="M53" s="234"/>
      <c r="N53" s="234"/>
      <c r="O53" s="234"/>
      <c r="P53" s="234"/>
      <c r="Q53" s="392"/>
      <c r="R53" s="234">
        <f>IF(MAXA(F53:Q53)&lt;1,"&lt;1",MAXA(F53:Q53))</f>
        <v>71</v>
      </c>
      <c r="S53" s="234">
        <f>IF(MINA(F53:Q53)&lt;1,"&lt;1",MINA(F53:Q53))</f>
        <v>71</v>
      </c>
      <c r="T53" s="392">
        <f>IF(AVERAGEA(F53:Q53)&lt;1,"&lt;1",AVERAGEA(F53:Q53))</f>
        <v>71</v>
      </c>
      <c r="U53" s="595"/>
      <c r="V53" s="2"/>
    </row>
    <row r="54" spans="2:22" ht="12" customHeight="1" x14ac:dyDescent="0.15">
      <c r="B54" s="19">
        <f t="shared" si="0"/>
        <v>41</v>
      </c>
      <c r="C54" s="592" t="s">
        <v>51</v>
      </c>
      <c r="D54" s="593"/>
      <c r="E54" s="11" t="s">
        <v>89</v>
      </c>
      <c r="F54" s="177"/>
      <c r="G54" s="178"/>
      <c r="H54" s="268"/>
      <c r="I54" s="179" t="s">
        <v>314</v>
      </c>
      <c r="J54" s="268"/>
      <c r="K54" s="268"/>
      <c r="L54" s="178"/>
      <c r="M54" s="178"/>
      <c r="N54" s="178"/>
      <c r="O54" s="178"/>
      <c r="P54" s="178"/>
      <c r="Q54" s="396"/>
      <c r="R54" s="178" t="str">
        <f>IF(MAXA(F54:Q54)&lt;0.02,"&lt;0.02",MAXA(F54:Q54))</f>
        <v>&lt;0.02</v>
      </c>
      <c r="S54" s="178" t="str">
        <f>IF(MINA(F54:Q54)&lt;0.02,"&lt;0.02",MINA(F54:Q54))</f>
        <v>&lt;0.02</v>
      </c>
      <c r="T54" s="396" t="str">
        <f>IF(AVERAGEA(F54:Q54)&lt;0.02,"&lt;0.02",AVERAGEA(F54:Q54))</f>
        <v>&lt;0.02</v>
      </c>
      <c r="U54" s="595" t="s">
        <v>62</v>
      </c>
      <c r="V54" s="2"/>
    </row>
    <row r="55" spans="2:22" ht="12" customHeight="1" x14ac:dyDescent="0.15">
      <c r="B55" s="19">
        <f t="shared" si="0"/>
        <v>42</v>
      </c>
      <c r="C55" s="592" t="s">
        <v>246</v>
      </c>
      <c r="D55" s="593"/>
      <c r="E55" s="11" t="s">
        <v>117</v>
      </c>
      <c r="F55" s="198"/>
      <c r="G55" s="288"/>
      <c r="H55" s="311"/>
      <c r="I55" s="179" t="s">
        <v>315</v>
      </c>
      <c r="J55" s="311"/>
      <c r="K55" s="311"/>
      <c r="L55" s="288"/>
      <c r="M55" s="288"/>
      <c r="N55" s="288"/>
      <c r="O55" s="288"/>
      <c r="P55" s="288"/>
      <c r="Q55" s="398"/>
      <c r="R55" s="495" t="str">
        <f>IF(MAXA(F55:Q55)&lt;0.000001,"&lt;0.000001",MAXA(F55:Q55))</f>
        <v>&lt;0.000001</v>
      </c>
      <c r="S55" s="238" t="str">
        <f>IF(MINA(F55:Q55)&lt;0.000001,"&lt;0.000001",MINA(F55:Q55))</f>
        <v>&lt;0.000001</v>
      </c>
      <c r="T55" s="492" t="str">
        <f>IF(AVERAGEA(F55:Q55)&lt;0.000001,"&lt;0.000001",AVERAGEA(F55:Q55))</f>
        <v>&lt;0.000001</v>
      </c>
      <c r="U55" s="595"/>
      <c r="V55" s="2"/>
    </row>
    <row r="56" spans="2:22" ht="12" customHeight="1" x14ac:dyDescent="0.15">
      <c r="B56" s="19">
        <f t="shared" si="0"/>
        <v>43</v>
      </c>
      <c r="C56" s="592" t="s">
        <v>247</v>
      </c>
      <c r="D56" s="593"/>
      <c r="E56" s="11" t="s">
        <v>117</v>
      </c>
      <c r="F56" s="198"/>
      <c r="G56" s="288"/>
      <c r="H56" s="311"/>
      <c r="I56" s="179" t="s">
        <v>315</v>
      </c>
      <c r="J56" s="311"/>
      <c r="K56" s="311"/>
      <c r="L56" s="288"/>
      <c r="M56" s="288"/>
      <c r="N56" s="288"/>
      <c r="O56" s="288"/>
      <c r="P56" s="288"/>
      <c r="Q56" s="398"/>
      <c r="R56" s="496" t="str">
        <f>IF(MAXA(F56:Q56)&lt;0.000001,"&lt;0.000001",MAXA(F56:Q56))</f>
        <v>&lt;0.000001</v>
      </c>
      <c r="S56" s="497" t="str">
        <f>IF(MINA(F56:Q56)&lt;0.000001,"&lt;0.000001",MINA(F56:Q56))</f>
        <v>&lt;0.000001</v>
      </c>
      <c r="T56" s="498" t="str">
        <f>IF(AVERAGEA(F56:Q56)&lt;0.000001,"&lt;0.000001",AVERAGEA(F56:Q56))</f>
        <v>&lt;0.000001</v>
      </c>
      <c r="U56" s="595"/>
      <c r="V56" s="2"/>
    </row>
    <row r="57" spans="2:22" ht="12" customHeight="1" x14ac:dyDescent="0.15">
      <c r="B57" s="19">
        <f t="shared" si="0"/>
        <v>44</v>
      </c>
      <c r="C57" s="592" t="s">
        <v>52</v>
      </c>
      <c r="D57" s="593"/>
      <c r="E57" s="11" t="s">
        <v>96</v>
      </c>
      <c r="F57" s="173"/>
      <c r="G57" s="179"/>
      <c r="H57" s="265"/>
      <c r="I57" s="179" t="s">
        <v>312</v>
      </c>
      <c r="J57" s="265"/>
      <c r="K57" s="265"/>
      <c r="L57" s="179"/>
      <c r="M57" s="179"/>
      <c r="N57" s="179"/>
      <c r="O57" s="179"/>
      <c r="P57" s="179"/>
      <c r="Q57" s="393"/>
      <c r="R57" s="239" t="str">
        <f>IF(MAXA(F57:Q57)&lt;0.005,"&lt;0.005",MAXA(F57:Q57))</f>
        <v>&lt;0.005</v>
      </c>
      <c r="S57" s="179" t="str">
        <f>IF(MINA(F57:Q57)&lt;0.005,"&lt;0.005",MINA(F57:Q57))</f>
        <v>&lt;0.005</v>
      </c>
      <c r="T57" s="393" t="str">
        <f>IF(AVERAGEA(F57:Q57)&lt;0.005,"&lt;0.005",AVERAGEA(F57:Q57))</f>
        <v>&lt;0.005</v>
      </c>
      <c r="U57" s="595"/>
      <c r="V57" s="2"/>
    </row>
    <row r="58" spans="2:22" ht="12" customHeight="1" x14ac:dyDescent="0.15">
      <c r="B58" s="19">
        <f t="shared" si="0"/>
        <v>45</v>
      </c>
      <c r="C58" s="592" t="s">
        <v>53</v>
      </c>
      <c r="D58" s="593"/>
      <c r="E58" s="11" t="s">
        <v>118</v>
      </c>
      <c r="F58" s="176"/>
      <c r="G58" s="237"/>
      <c r="H58" s="270"/>
      <c r="I58" s="179" t="s">
        <v>316</v>
      </c>
      <c r="J58" s="270"/>
      <c r="K58" s="270"/>
      <c r="L58" s="237"/>
      <c r="M58" s="237"/>
      <c r="N58" s="237"/>
      <c r="O58" s="237"/>
      <c r="P58" s="237"/>
      <c r="Q58" s="397"/>
      <c r="R58" s="278" t="str">
        <f>IF(MAXA(F58:Q58)&lt;0.0005,"&lt;0.0005",MAXA(F58:Q58))</f>
        <v>&lt;0.0005</v>
      </c>
      <c r="S58" s="237" t="str">
        <f>IF(MINA(F58:Q58)&lt;0.0005,"&lt;0.0005",MINA(F58:Q58))</f>
        <v>&lt;0.0005</v>
      </c>
      <c r="T58" s="397" t="str">
        <f>IF(AVERAGEA(F58:Q58)&lt;0.0005,"&lt;0.0005",AVERAGEA(F58:Q58))</f>
        <v>&lt;0.0005</v>
      </c>
      <c r="U58" s="595"/>
      <c r="V58" s="2"/>
    </row>
    <row r="59" spans="2:22" ht="12" customHeight="1" x14ac:dyDescent="0.15">
      <c r="B59" s="28">
        <f t="shared" si="0"/>
        <v>46</v>
      </c>
      <c r="C59" s="592" t="s">
        <v>128</v>
      </c>
      <c r="D59" s="593"/>
      <c r="E59" s="11" t="s">
        <v>97</v>
      </c>
      <c r="F59" s="170" t="s">
        <v>510</v>
      </c>
      <c r="G59" s="91" t="s">
        <v>567</v>
      </c>
      <c r="H59" s="91">
        <v>0.4</v>
      </c>
      <c r="I59" s="91">
        <v>0.6</v>
      </c>
      <c r="J59" s="269">
        <v>0.5</v>
      </c>
      <c r="K59" s="269">
        <v>0.3</v>
      </c>
      <c r="L59" s="91">
        <v>0.8</v>
      </c>
      <c r="M59" s="91">
        <v>0.5</v>
      </c>
      <c r="N59" s="91">
        <v>0.4</v>
      </c>
      <c r="O59" s="91" t="s">
        <v>510</v>
      </c>
      <c r="P59" s="91" t="s">
        <v>325</v>
      </c>
      <c r="Q59" s="395">
        <v>0.3</v>
      </c>
      <c r="R59" s="170">
        <f>IF(MAXA(F59:Q59)&lt;0.3,"&lt;0.3",MAXA(F59:Q59))</f>
        <v>0.8</v>
      </c>
      <c r="S59" s="91" t="str">
        <f>IF(MINA(F59:Q59)&lt;0.3,"&lt;0.3",MINA(F59:Q59))</f>
        <v>&lt;0.3</v>
      </c>
      <c r="T59" s="395">
        <f>IF(AVERAGEA(F59:Q59)&lt;0.3,"&lt;0.3",AVERAGEA(F59:Q59))</f>
        <v>0.31666666666666665</v>
      </c>
      <c r="U59" s="595" t="s">
        <v>63</v>
      </c>
      <c r="V59" s="2"/>
    </row>
    <row r="60" spans="2:22" ht="12" customHeight="1" x14ac:dyDescent="0.15">
      <c r="B60" s="19">
        <f t="shared" si="0"/>
        <v>47</v>
      </c>
      <c r="C60" s="592" t="s">
        <v>54</v>
      </c>
      <c r="D60" s="593"/>
      <c r="E60" s="11" t="s">
        <v>68</v>
      </c>
      <c r="F60" s="170">
        <v>7.3</v>
      </c>
      <c r="G60" s="91">
        <v>7.2</v>
      </c>
      <c r="H60" s="91">
        <v>7.4</v>
      </c>
      <c r="I60" s="91">
        <v>7.4</v>
      </c>
      <c r="J60" s="269">
        <v>7.2</v>
      </c>
      <c r="K60" s="269">
        <v>7.3</v>
      </c>
      <c r="L60" s="91">
        <v>7.3</v>
      </c>
      <c r="M60" s="91">
        <v>7.3</v>
      </c>
      <c r="N60" s="91">
        <v>7.3</v>
      </c>
      <c r="O60" s="91">
        <v>7.2</v>
      </c>
      <c r="P60" s="91">
        <v>7.3</v>
      </c>
      <c r="Q60" s="395">
        <v>7.3</v>
      </c>
      <c r="R60" s="170">
        <f>MAX(F60:Q60)</f>
        <v>7.4</v>
      </c>
      <c r="S60" s="91">
        <f>MIN(F60:Q60)</f>
        <v>7.2</v>
      </c>
      <c r="T60" s="395">
        <f>AVERAGEA(F60:Q60)</f>
        <v>7.2916666666666652</v>
      </c>
      <c r="U60" s="595"/>
      <c r="V60" s="2"/>
    </row>
    <row r="61" spans="2:22" ht="12" customHeight="1" x14ac:dyDescent="0.15">
      <c r="B61" s="19">
        <f t="shared" si="0"/>
        <v>48</v>
      </c>
      <c r="C61" s="592" t="s">
        <v>55</v>
      </c>
      <c r="D61" s="593"/>
      <c r="E61" s="11" t="s">
        <v>121</v>
      </c>
      <c r="F61" s="171" t="s">
        <v>271</v>
      </c>
      <c r="G61" s="234" t="s">
        <v>271</v>
      </c>
      <c r="H61" s="234" t="s">
        <v>271</v>
      </c>
      <c r="I61" s="234" t="s">
        <v>328</v>
      </c>
      <c r="J61" s="264" t="s">
        <v>271</v>
      </c>
      <c r="K61" s="264" t="s">
        <v>271</v>
      </c>
      <c r="L61" s="234" t="s">
        <v>271</v>
      </c>
      <c r="M61" s="234" t="s">
        <v>271</v>
      </c>
      <c r="N61" s="234" t="s">
        <v>271</v>
      </c>
      <c r="O61" s="234" t="s">
        <v>271</v>
      </c>
      <c r="P61" s="234" t="s">
        <v>271</v>
      </c>
      <c r="Q61" s="392" t="s">
        <v>271</v>
      </c>
      <c r="R61" s="171"/>
      <c r="S61" s="234"/>
      <c r="T61" s="392"/>
      <c r="U61" s="595"/>
      <c r="V61" s="2"/>
    </row>
    <row r="62" spans="2:22" ht="12" customHeight="1" x14ac:dyDescent="0.15">
      <c r="B62" s="19">
        <f t="shared" si="0"/>
        <v>49</v>
      </c>
      <c r="C62" s="592" t="s">
        <v>56</v>
      </c>
      <c r="D62" s="593"/>
      <c r="E62" s="11" t="s">
        <v>121</v>
      </c>
      <c r="F62" s="171" t="s">
        <v>271</v>
      </c>
      <c r="G62" s="234" t="s">
        <v>271</v>
      </c>
      <c r="H62" s="234" t="s">
        <v>271</v>
      </c>
      <c r="I62" s="234" t="s">
        <v>328</v>
      </c>
      <c r="J62" s="264" t="s">
        <v>271</v>
      </c>
      <c r="K62" s="264" t="s">
        <v>271</v>
      </c>
      <c r="L62" s="234" t="s">
        <v>271</v>
      </c>
      <c r="M62" s="234" t="s">
        <v>271</v>
      </c>
      <c r="N62" s="234" t="s">
        <v>271</v>
      </c>
      <c r="O62" s="234" t="s">
        <v>271</v>
      </c>
      <c r="P62" s="234" t="s">
        <v>271</v>
      </c>
      <c r="Q62" s="392" t="s">
        <v>271</v>
      </c>
      <c r="R62" s="171"/>
      <c r="S62" s="234"/>
      <c r="T62" s="392"/>
      <c r="U62" s="595"/>
      <c r="V62" s="2"/>
    </row>
    <row r="63" spans="2:22" ht="12" customHeight="1" x14ac:dyDescent="0.15">
      <c r="B63" s="19">
        <f t="shared" si="0"/>
        <v>50</v>
      </c>
      <c r="C63" s="592" t="s">
        <v>57</v>
      </c>
      <c r="D63" s="593"/>
      <c r="E63" s="11" t="s">
        <v>119</v>
      </c>
      <c r="F63" s="170" t="s">
        <v>326</v>
      </c>
      <c r="G63" s="91" t="s">
        <v>326</v>
      </c>
      <c r="H63" s="91" t="s">
        <v>326</v>
      </c>
      <c r="I63" s="91">
        <v>0.6</v>
      </c>
      <c r="J63" s="269" t="s">
        <v>326</v>
      </c>
      <c r="K63" s="269" t="s">
        <v>326</v>
      </c>
      <c r="L63" s="179" t="s">
        <v>326</v>
      </c>
      <c r="M63" s="91" t="s">
        <v>326</v>
      </c>
      <c r="N63" s="91" t="s">
        <v>326</v>
      </c>
      <c r="O63" s="91" t="s">
        <v>326</v>
      </c>
      <c r="P63" s="91" t="s">
        <v>326</v>
      </c>
      <c r="Q63" s="395" t="s">
        <v>326</v>
      </c>
      <c r="R63" s="170">
        <f>IF(MAXA(F63:Q63)&lt;0.5,"&lt;0.5",MAXA(F63:Q63))</f>
        <v>0.6</v>
      </c>
      <c r="S63" s="91" t="str">
        <f>IF(MINA(F63:Q63)&lt;0.5,"&lt;0.5",MINA(F63:Q63))</f>
        <v>&lt;0.5</v>
      </c>
      <c r="T63" s="395" t="str">
        <f>IF(AVERAGEA(F63:Q63)&lt;0.5,"&lt;0.5",AVERAGEA(F63:Q63))</f>
        <v>&lt;0.5</v>
      </c>
      <c r="U63" s="595"/>
      <c r="V63" s="2"/>
    </row>
    <row r="64" spans="2:22" ht="12" customHeight="1" thickBot="1" x14ac:dyDescent="0.2">
      <c r="B64" s="24">
        <f t="shared" si="0"/>
        <v>51</v>
      </c>
      <c r="C64" s="606" t="s">
        <v>58</v>
      </c>
      <c r="D64" s="607"/>
      <c r="E64" s="25" t="s">
        <v>120</v>
      </c>
      <c r="F64" s="183" t="s">
        <v>310</v>
      </c>
      <c r="G64" s="261" t="s">
        <v>310</v>
      </c>
      <c r="H64" s="261" t="s">
        <v>310</v>
      </c>
      <c r="I64" s="261" t="s">
        <v>310</v>
      </c>
      <c r="J64" s="261" t="s">
        <v>310</v>
      </c>
      <c r="K64" s="261" t="s">
        <v>310</v>
      </c>
      <c r="L64" s="369" t="s">
        <v>310</v>
      </c>
      <c r="M64" s="414" t="s">
        <v>310</v>
      </c>
      <c r="N64" s="442" t="s">
        <v>310</v>
      </c>
      <c r="O64" s="300" t="s">
        <v>310</v>
      </c>
      <c r="P64" s="479" t="s">
        <v>310</v>
      </c>
      <c r="Q64" s="464" t="s">
        <v>310</v>
      </c>
      <c r="R64" s="487" t="str">
        <f>IF(MAXA(F64:Q64)&lt;0.1,"&lt;0.1",MAXA(F64:Q64))</f>
        <v>&lt;0.1</v>
      </c>
      <c r="S64" s="488" t="str">
        <f>IF(MINA(F64:Q64)&lt;0.1,"&lt;0.1",MINA(F64:Q64))</f>
        <v>&lt;0.1</v>
      </c>
      <c r="T64" s="399" t="str">
        <f>IF(AVERAGEA(F64:Q64)&lt;0.1,"&lt;0.1",AVERAGEA(F64:Q64))</f>
        <v>&lt;0.1</v>
      </c>
      <c r="U64" s="599"/>
      <c r="V64" s="2"/>
    </row>
    <row r="65" spans="2:22" ht="15" customHeight="1" thickBot="1" x14ac:dyDescent="0.2">
      <c r="B65" s="603" t="s">
        <v>126</v>
      </c>
      <c r="C65" s="604"/>
      <c r="D65" s="604"/>
      <c r="E65" s="605"/>
      <c r="F65" s="216" t="s">
        <v>272</v>
      </c>
      <c r="G65" s="122" t="s">
        <v>272</v>
      </c>
      <c r="H65" s="122" t="s">
        <v>272</v>
      </c>
      <c r="I65" s="122" t="s">
        <v>294</v>
      </c>
      <c r="J65" s="122" t="s">
        <v>272</v>
      </c>
      <c r="K65" s="122" t="s">
        <v>272</v>
      </c>
      <c r="L65" s="122" t="s">
        <v>272</v>
      </c>
      <c r="M65" s="122" t="s">
        <v>272</v>
      </c>
      <c r="N65" s="122" t="s">
        <v>272</v>
      </c>
      <c r="O65" s="122" t="s">
        <v>272</v>
      </c>
      <c r="P65" s="122" t="s">
        <v>272</v>
      </c>
      <c r="Q65" s="512" t="s">
        <v>272</v>
      </c>
      <c r="R65" s="480"/>
      <c r="S65" s="480"/>
      <c r="T65" s="480"/>
      <c r="V65" s="2"/>
    </row>
    <row r="66" spans="2:22" ht="15" customHeight="1" thickBot="1" x14ac:dyDescent="0.2">
      <c r="B66" s="603" t="s">
        <v>127</v>
      </c>
      <c r="C66" s="604"/>
      <c r="D66" s="604"/>
      <c r="E66" s="605"/>
      <c r="F66" s="166" t="s">
        <v>205</v>
      </c>
      <c r="G66" s="215" t="s">
        <v>521</v>
      </c>
      <c r="H66" s="215" t="s">
        <v>530</v>
      </c>
      <c r="I66" s="215" t="s">
        <v>196</v>
      </c>
      <c r="J66" s="215" t="s">
        <v>530</v>
      </c>
      <c r="K66" s="215" t="s">
        <v>530</v>
      </c>
      <c r="L66" s="215" t="s">
        <v>205</v>
      </c>
      <c r="M66" s="215" t="s">
        <v>530</v>
      </c>
      <c r="N66" s="215" t="s">
        <v>530</v>
      </c>
      <c r="O66" s="215" t="s">
        <v>205</v>
      </c>
      <c r="P66" s="215" t="s">
        <v>530</v>
      </c>
      <c r="Q66" s="402" t="s">
        <v>530</v>
      </c>
      <c r="S66" s="5"/>
      <c r="T66" s="104"/>
      <c r="V66" s="2"/>
    </row>
    <row r="67" spans="2:22" ht="12" customHeight="1" x14ac:dyDescent="0.15">
      <c r="C67" s="1"/>
      <c r="D67" s="1"/>
      <c r="E67" s="4"/>
      <c r="F67" s="4"/>
      <c r="G67" s="4"/>
      <c r="H67" s="4"/>
      <c r="I67" s="4"/>
      <c r="J67" s="4"/>
      <c r="K67" s="4"/>
      <c r="L67" s="73"/>
      <c r="M67" s="4"/>
      <c r="N67" s="4"/>
      <c r="O67" s="4"/>
      <c r="P67" s="4"/>
      <c r="Q67" s="4"/>
      <c r="R67" s="602"/>
      <c r="S67" s="602"/>
      <c r="T67" s="602"/>
      <c r="V67" s="4"/>
    </row>
    <row r="68" spans="2:22" ht="12" customHeight="1" x14ac:dyDescent="0.15">
      <c r="B68" s="1"/>
      <c r="C68" s="3" t="s">
        <v>495</v>
      </c>
      <c r="D68" s="27"/>
      <c r="E68" s="27"/>
      <c r="F68" s="27"/>
      <c r="G68" s="27"/>
      <c r="H68" s="27"/>
      <c r="I68" s="27"/>
      <c r="J68" s="1"/>
      <c r="K68" s="1"/>
      <c r="L68" s="1"/>
      <c r="N68" s="1"/>
      <c r="O68" s="1"/>
      <c r="P68" s="1"/>
      <c r="Q68" s="1"/>
      <c r="R68" s="4"/>
      <c r="S68" s="1"/>
      <c r="T68" s="4"/>
      <c r="U68" s="1"/>
    </row>
    <row r="69" spans="2:22" ht="10.5" customHeight="1" x14ac:dyDescent="0.15">
      <c r="C69" s="27"/>
      <c r="D69" s="27"/>
      <c r="E69" s="27"/>
      <c r="F69" s="27"/>
      <c r="G69" s="27"/>
      <c r="H69" s="27"/>
      <c r="I69" s="27"/>
      <c r="L69" s="1"/>
    </row>
    <row r="70" spans="2:22" ht="10.5" customHeight="1" x14ac:dyDescent="0.15"/>
    <row r="71" spans="2:22" ht="10.5" customHeight="1" x14ac:dyDescent="0.15"/>
    <row r="72" spans="2:22" ht="10.5" customHeight="1" x14ac:dyDescent="0.15"/>
    <row r="73" spans="2:22" ht="10.5" customHeight="1" x14ac:dyDescent="0.15"/>
    <row r="74" spans="2:22" ht="10.5" customHeight="1" x14ac:dyDescent="0.15"/>
    <row r="75" spans="2:22" ht="10.5" customHeight="1" x14ac:dyDescent="0.15"/>
    <row r="76" spans="2:22" ht="10.5" customHeight="1" x14ac:dyDescent="0.15"/>
    <row r="77" spans="2:22" ht="10.5" customHeight="1" x14ac:dyDescent="0.15"/>
    <row r="78" spans="2:22" ht="10.5" customHeight="1" x14ac:dyDescent="0.15"/>
    <row r="79" spans="2:22" ht="10.5" customHeight="1" x14ac:dyDescent="0.15"/>
    <row r="80" spans="2:22" ht="15" customHeight="1" x14ac:dyDescent="0.15"/>
    <row r="81" ht="5.45" customHeight="1" x14ac:dyDescent="0.15"/>
  </sheetData>
  <mergeCells count="82">
    <mergeCell ref="C64:D64"/>
    <mergeCell ref="C58:D58"/>
    <mergeCell ref="C59:D59"/>
    <mergeCell ref="C60:D60"/>
    <mergeCell ref="B1:M1"/>
    <mergeCell ref="C61:D61"/>
    <mergeCell ref="C62:D62"/>
    <mergeCell ref="C63:D63"/>
    <mergeCell ref="C54:D54"/>
    <mergeCell ref="C55:D55"/>
    <mergeCell ref="C56:D56"/>
    <mergeCell ref="C57:D57"/>
    <mergeCell ref="C50:D50"/>
    <mergeCell ref="C51:D51"/>
    <mergeCell ref="C52:D52"/>
    <mergeCell ref="C53:D53"/>
    <mergeCell ref="C47:D47"/>
    <mergeCell ref="C48:D48"/>
    <mergeCell ref="C49:D49"/>
    <mergeCell ref="C42:D42"/>
    <mergeCell ref="C43:D43"/>
    <mergeCell ref="C44:D44"/>
    <mergeCell ref="C45:D45"/>
    <mergeCell ref="C46:D46"/>
    <mergeCell ref="C40:D40"/>
    <mergeCell ref="C41:D41"/>
    <mergeCell ref="C35:D35"/>
    <mergeCell ref="C36:D36"/>
    <mergeCell ref="C37:D37"/>
    <mergeCell ref="C39:D39"/>
    <mergeCell ref="C27:D27"/>
    <mergeCell ref="C28:D28"/>
    <mergeCell ref="C29:D29"/>
    <mergeCell ref="C38:D38"/>
    <mergeCell ref="C34:D34"/>
    <mergeCell ref="C30:D30"/>
    <mergeCell ref="C31:D31"/>
    <mergeCell ref="C32:D32"/>
    <mergeCell ref="C33:D33"/>
    <mergeCell ref="B4:C4"/>
    <mergeCell ref="C15:D15"/>
    <mergeCell ref="C16:D16"/>
    <mergeCell ref="D8:E8"/>
    <mergeCell ref="D7:E7"/>
    <mergeCell ref="D9:E9"/>
    <mergeCell ref="D12:E12"/>
    <mergeCell ref="B6:C12"/>
    <mergeCell ref="D10:E10"/>
    <mergeCell ref="D11:E11"/>
    <mergeCell ref="D6:E6"/>
    <mergeCell ref="R6:R9"/>
    <mergeCell ref="S6:S9"/>
    <mergeCell ref="G4:K4"/>
    <mergeCell ref="R13:T13"/>
    <mergeCell ref="G3:K3"/>
    <mergeCell ref="U59:U64"/>
    <mergeCell ref="U6:U12"/>
    <mergeCell ref="T6:T9"/>
    <mergeCell ref="U52:U53"/>
    <mergeCell ref="U27:U33"/>
    <mergeCell ref="U34:U44"/>
    <mergeCell ref="U14:U15"/>
    <mergeCell ref="U22:U26"/>
    <mergeCell ref="U45:U50"/>
    <mergeCell ref="U54:U58"/>
    <mergeCell ref="U16:U21"/>
    <mergeCell ref="R67:T67"/>
    <mergeCell ref="B66:E66"/>
    <mergeCell ref="B65:E65"/>
    <mergeCell ref="B13:D13"/>
    <mergeCell ref="C14:D14"/>
    <mergeCell ref="C17:D17"/>
    <mergeCell ref="C18:D18"/>
    <mergeCell ref="C23:D23"/>
    <mergeCell ref="C24:D24"/>
    <mergeCell ref="C25:D25"/>
    <mergeCell ref="C22:D22"/>
    <mergeCell ref="C19:D19"/>
    <mergeCell ref="C20:D20"/>
    <mergeCell ref="C21:D21"/>
    <mergeCell ref="F13:Q13"/>
    <mergeCell ref="C26:D26"/>
  </mergeCells>
  <phoneticPr fontId="4"/>
  <printOptions horizontalCentered="1"/>
  <pageMargins left="0.70866141732283472" right="0.70866141732283472" top="0.59055118110236227" bottom="0.19685039370078741" header="0" footer="0"/>
  <pageSetup paperSize="9" scale="70" orientation="landscape" r:id="rId1"/>
  <headerFooter alignWithMargins="0"/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P63"/>
  <sheetViews>
    <sheetView zoomScaleNormal="100" zoomScaleSheetLayoutView="85" workbookViewId="0"/>
  </sheetViews>
  <sheetFormatPr defaultColWidth="8.875" defaultRowHeight="11.25" x14ac:dyDescent="0.15"/>
  <cols>
    <col min="1" max="1" width="9" style="53" customWidth="1"/>
    <col min="2" max="2" width="7.5" style="52" customWidth="1"/>
    <col min="3" max="3" width="9.25" style="52" customWidth="1"/>
    <col min="4" max="4" width="5.75" style="52" customWidth="1"/>
    <col min="5" max="5" width="2" style="52" customWidth="1"/>
    <col min="6" max="6" width="5.375" style="52" customWidth="1"/>
    <col min="7" max="7" width="2" style="52" customWidth="1"/>
    <col min="8" max="8" width="5.375" style="52" customWidth="1"/>
    <col min="9" max="9" width="2" style="52" customWidth="1"/>
    <col min="10" max="10" width="8.125" style="53" customWidth="1"/>
    <col min="11" max="11" width="2" style="53" customWidth="1"/>
    <col min="12" max="12" width="8.125" style="53" customWidth="1"/>
    <col min="13" max="13" width="2" style="53" customWidth="1"/>
    <col min="14" max="14" width="8.125" style="53" customWidth="1"/>
    <col min="15" max="15" width="2" style="53" customWidth="1"/>
    <col min="16" max="16" width="5.75" style="53" customWidth="1"/>
    <col min="17" max="17" width="2" style="53" customWidth="1"/>
    <col min="18" max="18" width="5.375" style="53" customWidth="1"/>
    <col min="19" max="19" width="2" style="53" customWidth="1"/>
    <col min="20" max="20" width="5.375" style="53" customWidth="1"/>
    <col min="21" max="16384" width="8.875" style="53"/>
  </cols>
  <sheetData>
    <row r="1" spans="1:15" ht="13.5" x14ac:dyDescent="0.15">
      <c r="A1" s="10" t="s">
        <v>212</v>
      </c>
      <c r="B1" s="51"/>
    </row>
    <row r="2" spans="1:15" ht="27.6" customHeight="1" x14ac:dyDescent="0.15">
      <c r="B2" s="526" t="s">
        <v>213</v>
      </c>
      <c r="C2" s="526"/>
      <c r="D2" s="526"/>
      <c r="E2" s="526"/>
      <c r="F2" s="526"/>
      <c r="G2" s="526"/>
      <c r="H2" s="526"/>
      <c r="I2" s="526"/>
      <c r="J2" s="526"/>
      <c r="K2" s="526"/>
      <c r="L2" s="526"/>
      <c r="M2" s="526"/>
      <c r="N2" s="526"/>
      <c r="O2" s="526"/>
    </row>
    <row r="3" spans="1:15" ht="4.1500000000000004" customHeight="1" thickBot="1" x14ac:dyDescent="0.2"/>
    <row r="4" spans="1:15" ht="16.899999999999999" customHeight="1" x14ac:dyDescent="0.15">
      <c r="B4" s="520" t="s">
        <v>214</v>
      </c>
      <c r="C4" s="521"/>
      <c r="D4" s="522" t="s">
        <v>135</v>
      </c>
      <c r="E4" s="523"/>
      <c r="F4" s="524"/>
      <c r="G4" s="525"/>
      <c r="H4" s="525"/>
      <c r="I4" s="525"/>
      <c r="J4" s="527" t="s">
        <v>147</v>
      </c>
      <c r="K4" s="528"/>
      <c r="L4" s="528"/>
      <c r="M4" s="528"/>
      <c r="N4" s="528"/>
      <c r="O4" s="529"/>
    </row>
    <row r="5" spans="1:15" s="52" customFormat="1" ht="16.899999999999999" customHeight="1" thickBot="1" x14ac:dyDescent="0.2">
      <c r="B5" s="54" t="s">
        <v>215</v>
      </c>
      <c r="C5" s="55" t="s">
        <v>216</v>
      </c>
      <c r="D5" s="56" t="s">
        <v>217</v>
      </c>
      <c r="E5" s="57" t="s">
        <v>240</v>
      </c>
      <c r="F5" s="57" t="s">
        <v>218</v>
      </c>
      <c r="G5" s="57" t="s">
        <v>241</v>
      </c>
      <c r="H5" s="57" t="s">
        <v>219</v>
      </c>
      <c r="I5" s="58" t="s">
        <v>242</v>
      </c>
      <c r="J5" s="59" t="s">
        <v>217</v>
      </c>
      <c r="K5" s="60" t="s">
        <v>240</v>
      </c>
      <c r="L5" s="60" t="s">
        <v>218</v>
      </c>
      <c r="M5" s="60" t="s">
        <v>241</v>
      </c>
      <c r="N5" s="60" t="s">
        <v>219</v>
      </c>
      <c r="O5" s="61" t="s">
        <v>242</v>
      </c>
    </row>
    <row r="6" spans="1:15" ht="16.899999999999999" customHeight="1" x14ac:dyDescent="0.15">
      <c r="B6" s="532" t="s">
        <v>220</v>
      </c>
      <c r="C6" s="62" t="s">
        <v>221</v>
      </c>
      <c r="D6" s="541" t="s">
        <v>271</v>
      </c>
      <c r="E6" s="542"/>
      <c r="F6" s="542"/>
      <c r="G6" s="542"/>
      <c r="H6" s="542"/>
      <c r="I6" s="543"/>
      <c r="J6" s="219" t="s">
        <v>292</v>
      </c>
      <c r="K6" s="220" t="s">
        <v>222</v>
      </c>
      <c r="L6" s="220" t="s">
        <v>292</v>
      </c>
      <c r="M6" s="220" t="s">
        <v>223</v>
      </c>
      <c r="N6" s="220" t="s">
        <v>292</v>
      </c>
      <c r="O6" s="221" t="s">
        <v>224</v>
      </c>
    </row>
    <row r="7" spans="1:15" ht="16.899999999999999" customHeight="1" x14ac:dyDescent="0.15">
      <c r="B7" s="540"/>
      <c r="C7" s="63" t="s">
        <v>225</v>
      </c>
      <c r="D7" s="536" t="s">
        <v>271</v>
      </c>
      <c r="E7" s="537"/>
      <c r="F7" s="538"/>
      <c r="G7" s="539"/>
      <c r="H7" s="539"/>
      <c r="I7" s="539"/>
      <c r="J7" s="222" t="s">
        <v>293</v>
      </c>
      <c r="K7" s="223" t="s">
        <v>222</v>
      </c>
      <c r="L7" s="223" t="s">
        <v>297</v>
      </c>
      <c r="M7" s="223" t="s">
        <v>223</v>
      </c>
      <c r="N7" s="223" t="s">
        <v>297</v>
      </c>
      <c r="O7" s="224" t="s">
        <v>224</v>
      </c>
    </row>
    <row r="8" spans="1:15" ht="16.899999999999999" customHeight="1" x14ac:dyDescent="0.15">
      <c r="B8" s="530"/>
      <c r="C8" s="62" t="s">
        <v>22</v>
      </c>
      <c r="D8" s="225">
        <v>0.5</v>
      </c>
      <c r="E8" s="226" t="s">
        <v>240</v>
      </c>
      <c r="F8" s="226">
        <v>0.5</v>
      </c>
      <c r="G8" s="226" t="s">
        <v>241</v>
      </c>
      <c r="H8" s="226">
        <v>0.6</v>
      </c>
      <c r="I8" s="227" t="s">
        <v>268</v>
      </c>
      <c r="J8" s="228">
        <v>0.5</v>
      </c>
      <c r="K8" s="229" t="s">
        <v>222</v>
      </c>
      <c r="L8" s="229">
        <v>0.5</v>
      </c>
      <c r="M8" s="229" t="s">
        <v>223</v>
      </c>
      <c r="N8" s="229">
        <v>0.5</v>
      </c>
      <c r="O8" s="230" t="s">
        <v>224</v>
      </c>
    </row>
    <row r="9" spans="1:15" ht="16.899999999999999" customHeight="1" x14ac:dyDescent="0.15">
      <c r="B9" s="530" t="s">
        <v>226</v>
      </c>
      <c r="C9" s="64" t="s">
        <v>227</v>
      </c>
      <c r="D9" s="544" t="s">
        <v>271</v>
      </c>
      <c r="E9" s="545"/>
      <c r="F9" s="545"/>
      <c r="G9" s="545"/>
      <c r="H9" s="545"/>
      <c r="I9" s="546"/>
      <c r="J9" s="292" t="s">
        <v>292</v>
      </c>
      <c r="K9" s="293" t="s">
        <v>222</v>
      </c>
      <c r="L9" s="293" t="s">
        <v>292</v>
      </c>
      <c r="M9" s="293" t="s">
        <v>223</v>
      </c>
      <c r="N9" s="293" t="s">
        <v>292</v>
      </c>
      <c r="O9" s="294" t="s">
        <v>224</v>
      </c>
    </row>
    <row r="10" spans="1:15" ht="16.899999999999999" customHeight="1" x14ac:dyDescent="0.15">
      <c r="B10" s="531"/>
      <c r="C10" s="63" t="s">
        <v>228</v>
      </c>
      <c r="D10" s="536" t="s">
        <v>271</v>
      </c>
      <c r="E10" s="537"/>
      <c r="F10" s="538"/>
      <c r="G10" s="539"/>
      <c r="H10" s="539"/>
      <c r="I10" s="539"/>
      <c r="J10" s="222" t="s">
        <v>293</v>
      </c>
      <c r="K10" s="223" t="s">
        <v>222</v>
      </c>
      <c r="L10" s="223" t="s">
        <v>297</v>
      </c>
      <c r="M10" s="223" t="s">
        <v>223</v>
      </c>
      <c r="N10" s="223" t="s">
        <v>297</v>
      </c>
      <c r="O10" s="224" t="s">
        <v>224</v>
      </c>
    </row>
    <row r="11" spans="1:15" ht="16.899999999999999" customHeight="1" x14ac:dyDescent="0.15">
      <c r="B11" s="532"/>
      <c r="C11" s="65" t="s">
        <v>229</v>
      </c>
      <c r="D11" s="289">
        <v>0.5</v>
      </c>
      <c r="E11" s="290" t="s">
        <v>240</v>
      </c>
      <c r="F11" s="290">
        <v>0.5</v>
      </c>
      <c r="G11" s="290" t="s">
        <v>241</v>
      </c>
      <c r="H11" s="290">
        <v>0.6</v>
      </c>
      <c r="I11" s="291" t="s">
        <v>242</v>
      </c>
      <c r="J11" s="295">
        <v>0.5</v>
      </c>
      <c r="K11" s="296" t="s">
        <v>222</v>
      </c>
      <c r="L11" s="296">
        <v>0.5</v>
      </c>
      <c r="M11" s="296" t="s">
        <v>223</v>
      </c>
      <c r="N11" s="296">
        <v>0.6</v>
      </c>
      <c r="O11" s="297" t="s">
        <v>224</v>
      </c>
    </row>
    <row r="12" spans="1:15" ht="16.899999999999999" customHeight="1" x14ac:dyDescent="0.15">
      <c r="B12" s="530" t="s">
        <v>230</v>
      </c>
      <c r="C12" s="62" t="s">
        <v>227</v>
      </c>
      <c r="D12" s="533" t="s">
        <v>271</v>
      </c>
      <c r="E12" s="534"/>
      <c r="F12" s="534"/>
      <c r="G12" s="534"/>
      <c r="H12" s="534"/>
      <c r="I12" s="535"/>
      <c r="J12" s="312" t="s">
        <v>292</v>
      </c>
      <c r="K12" s="313" t="s">
        <v>222</v>
      </c>
      <c r="L12" s="313" t="s">
        <v>292</v>
      </c>
      <c r="M12" s="313" t="s">
        <v>223</v>
      </c>
      <c r="N12" s="313" t="s">
        <v>292</v>
      </c>
      <c r="O12" s="314" t="s">
        <v>224</v>
      </c>
    </row>
    <row r="13" spans="1:15" ht="16.899999999999999" customHeight="1" x14ac:dyDescent="0.15">
      <c r="B13" s="531"/>
      <c r="C13" s="63" t="s">
        <v>228</v>
      </c>
      <c r="D13" s="536" t="s">
        <v>271</v>
      </c>
      <c r="E13" s="537"/>
      <c r="F13" s="538"/>
      <c r="G13" s="539"/>
      <c r="H13" s="539"/>
      <c r="I13" s="539"/>
      <c r="J13" s="222" t="s">
        <v>293</v>
      </c>
      <c r="K13" s="223" t="s">
        <v>222</v>
      </c>
      <c r="L13" s="223" t="s">
        <v>297</v>
      </c>
      <c r="M13" s="223" t="s">
        <v>223</v>
      </c>
      <c r="N13" s="223" t="s">
        <v>297</v>
      </c>
      <c r="O13" s="224" t="s">
        <v>224</v>
      </c>
    </row>
    <row r="14" spans="1:15" ht="16.899999999999999" customHeight="1" x14ac:dyDescent="0.15">
      <c r="B14" s="532"/>
      <c r="C14" s="62" t="s">
        <v>229</v>
      </c>
      <c r="D14" s="225">
        <v>0.6</v>
      </c>
      <c r="E14" s="226" t="s">
        <v>240</v>
      </c>
      <c r="F14" s="226">
        <v>0.6</v>
      </c>
      <c r="G14" s="226" t="s">
        <v>241</v>
      </c>
      <c r="H14" s="226">
        <v>0.7</v>
      </c>
      <c r="I14" s="227" t="s">
        <v>242</v>
      </c>
      <c r="J14" s="228">
        <v>0.6</v>
      </c>
      <c r="K14" s="229" t="s">
        <v>222</v>
      </c>
      <c r="L14" s="229">
        <v>0.5</v>
      </c>
      <c r="M14" s="229" t="s">
        <v>223</v>
      </c>
      <c r="N14" s="229">
        <v>0.6</v>
      </c>
      <c r="O14" s="230" t="s">
        <v>224</v>
      </c>
    </row>
    <row r="15" spans="1:15" ht="16.899999999999999" customHeight="1" x14ac:dyDescent="0.15">
      <c r="B15" s="530" t="s">
        <v>231</v>
      </c>
      <c r="C15" s="64" t="s">
        <v>227</v>
      </c>
      <c r="D15" s="544" t="s">
        <v>271</v>
      </c>
      <c r="E15" s="545"/>
      <c r="F15" s="545"/>
      <c r="G15" s="545"/>
      <c r="H15" s="545"/>
      <c r="I15" s="546"/>
      <c r="J15" s="292" t="s">
        <v>292</v>
      </c>
      <c r="K15" s="293" t="s">
        <v>222</v>
      </c>
      <c r="L15" s="293" t="s">
        <v>292</v>
      </c>
      <c r="M15" s="293" t="s">
        <v>223</v>
      </c>
      <c r="N15" s="293" t="s">
        <v>292</v>
      </c>
      <c r="O15" s="294" t="s">
        <v>224</v>
      </c>
    </row>
    <row r="16" spans="1:15" ht="16.899999999999999" customHeight="1" x14ac:dyDescent="0.15">
      <c r="B16" s="531"/>
      <c r="C16" s="63" t="s">
        <v>228</v>
      </c>
      <c r="D16" s="547" t="s">
        <v>271</v>
      </c>
      <c r="E16" s="548"/>
      <c r="F16" s="548"/>
      <c r="G16" s="548"/>
      <c r="H16" s="548"/>
      <c r="I16" s="549"/>
      <c r="J16" s="222" t="s">
        <v>293</v>
      </c>
      <c r="K16" s="223" t="s">
        <v>222</v>
      </c>
      <c r="L16" s="223" t="s">
        <v>297</v>
      </c>
      <c r="M16" s="223" t="s">
        <v>223</v>
      </c>
      <c r="N16" s="223" t="s">
        <v>297</v>
      </c>
      <c r="O16" s="224" t="s">
        <v>224</v>
      </c>
    </row>
    <row r="17" spans="2:16" ht="16.899999999999999" customHeight="1" x14ac:dyDescent="0.15">
      <c r="B17" s="532"/>
      <c r="C17" s="65" t="s">
        <v>229</v>
      </c>
      <c r="D17" s="225">
        <v>0.7</v>
      </c>
      <c r="E17" s="226" t="s">
        <v>240</v>
      </c>
      <c r="F17" s="226">
        <v>0.7</v>
      </c>
      <c r="G17" s="226" t="s">
        <v>241</v>
      </c>
      <c r="H17" s="226">
        <v>0.7</v>
      </c>
      <c r="I17" s="227" t="s">
        <v>242</v>
      </c>
      <c r="J17" s="228">
        <v>0.6</v>
      </c>
      <c r="K17" s="229" t="s">
        <v>222</v>
      </c>
      <c r="L17" s="229">
        <v>0.6</v>
      </c>
      <c r="M17" s="229" t="s">
        <v>223</v>
      </c>
      <c r="N17" s="229">
        <v>0.6</v>
      </c>
      <c r="O17" s="230" t="s">
        <v>224</v>
      </c>
    </row>
    <row r="18" spans="2:16" ht="16.899999999999999" customHeight="1" x14ac:dyDescent="0.15">
      <c r="B18" s="530" t="s">
        <v>232</v>
      </c>
      <c r="C18" s="62" t="s">
        <v>227</v>
      </c>
      <c r="D18" s="544" t="s">
        <v>271</v>
      </c>
      <c r="E18" s="545"/>
      <c r="F18" s="545"/>
      <c r="G18" s="545"/>
      <c r="H18" s="545"/>
      <c r="I18" s="546"/>
      <c r="J18" s="292" t="s">
        <v>292</v>
      </c>
      <c r="K18" s="293" t="s">
        <v>222</v>
      </c>
      <c r="L18" s="293" t="s">
        <v>292</v>
      </c>
      <c r="M18" s="293" t="s">
        <v>223</v>
      </c>
      <c r="N18" s="293" t="s">
        <v>292</v>
      </c>
      <c r="O18" s="294" t="s">
        <v>224</v>
      </c>
      <c r="P18" s="106"/>
    </row>
    <row r="19" spans="2:16" ht="16.899999999999999" customHeight="1" x14ac:dyDescent="0.15">
      <c r="B19" s="531"/>
      <c r="C19" s="63" t="s">
        <v>228</v>
      </c>
      <c r="D19" s="536" t="s">
        <v>271</v>
      </c>
      <c r="E19" s="537"/>
      <c r="F19" s="538"/>
      <c r="G19" s="539"/>
      <c r="H19" s="539"/>
      <c r="I19" s="539"/>
      <c r="J19" s="222" t="s">
        <v>293</v>
      </c>
      <c r="K19" s="223" t="s">
        <v>222</v>
      </c>
      <c r="L19" s="223" t="s">
        <v>297</v>
      </c>
      <c r="M19" s="223" t="s">
        <v>223</v>
      </c>
      <c r="N19" s="223" t="s">
        <v>297</v>
      </c>
      <c r="O19" s="224" t="s">
        <v>224</v>
      </c>
      <c r="P19" s="106"/>
    </row>
    <row r="20" spans="2:16" ht="16.899999999999999" customHeight="1" x14ac:dyDescent="0.15">
      <c r="B20" s="532"/>
      <c r="C20" s="62" t="s">
        <v>229</v>
      </c>
      <c r="D20" s="225">
        <v>0.7</v>
      </c>
      <c r="E20" s="226" t="s">
        <v>240</v>
      </c>
      <c r="F20" s="226">
        <v>0.6</v>
      </c>
      <c r="G20" s="226" t="s">
        <v>241</v>
      </c>
      <c r="H20" s="226">
        <v>0.7</v>
      </c>
      <c r="I20" s="227" t="s">
        <v>242</v>
      </c>
      <c r="J20" s="228">
        <v>0.6</v>
      </c>
      <c r="K20" s="229" t="s">
        <v>222</v>
      </c>
      <c r="L20" s="229">
        <v>0.6</v>
      </c>
      <c r="M20" s="229" t="s">
        <v>223</v>
      </c>
      <c r="N20" s="229">
        <v>0.6</v>
      </c>
      <c r="O20" s="230" t="s">
        <v>224</v>
      </c>
      <c r="P20" s="107"/>
    </row>
    <row r="21" spans="2:16" ht="16.899999999999999" customHeight="1" x14ac:dyDescent="0.15">
      <c r="B21" s="530" t="s">
        <v>233</v>
      </c>
      <c r="C21" s="64" t="s">
        <v>227</v>
      </c>
      <c r="D21" s="544" t="s">
        <v>271</v>
      </c>
      <c r="E21" s="545"/>
      <c r="F21" s="545"/>
      <c r="G21" s="545"/>
      <c r="H21" s="545"/>
      <c r="I21" s="546"/>
      <c r="J21" s="292" t="s">
        <v>292</v>
      </c>
      <c r="K21" s="293" t="s">
        <v>222</v>
      </c>
      <c r="L21" s="293" t="s">
        <v>292</v>
      </c>
      <c r="M21" s="293" t="s">
        <v>223</v>
      </c>
      <c r="N21" s="293" t="s">
        <v>292</v>
      </c>
      <c r="O21" s="294" t="s">
        <v>224</v>
      </c>
      <c r="P21" s="106"/>
    </row>
    <row r="22" spans="2:16" ht="16.899999999999999" customHeight="1" x14ac:dyDescent="0.15">
      <c r="B22" s="531"/>
      <c r="C22" s="63" t="s">
        <v>228</v>
      </c>
      <c r="D22" s="536" t="s">
        <v>271</v>
      </c>
      <c r="E22" s="537"/>
      <c r="F22" s="538"/>
      <c r="G22" s="539"/>
      <c r="H22" s="539"/>
      <c r="I22" s="539"/>
      <c r="J22" s="222" t="s">
        <v>293</v>
      </c>
      <c r="K22" s="223" t="s">
        <v>222</v>
      </c>
      <c r="L22" s="223" t="s">
        <v>297</v>
      </c>
      <c r="M22" s="223" t="s">
        <v>223</v>
      </c>
      <c r="N22" s="223" t="s">
        <v>297</v>
      </c>
      <c r="O22" s="224" t="s">
        <v>224</v>
      </c>
      <c r="P22" s="106"/>
    </row>
    <row r="23" spans="2:16" ht="16.899999999999999" customHeight="1" x14ac:dyDescent="0.15">
      <c r="B23" s="532"/>
      <c r="C23" s="65" t="s">
        <v>229</v>
      </c>
      <c r="D23" s="225">
        <v>0.7</v>
      </c>
      <c r="E23" s="226" t="s">
        <v>240</v>
      </c>
      <c r="F23" s="226">
        <v>0.6</v>
      </c>
      <c r="G23" s="226" t="s">
        <v>241</v>
      </c>
      <c r="H23" s="226">
        <v>0.7</v>
      </c>
      <c r="I23" s="227" t="s">
        <v>242</v>
      </c>
      <c r="J23" s="228">
        <v>0.6</v>
      </c>
      <c r="K23" s="229" t="s">
        <v>222</v>
      </c>
      <c r="L23" s="229">
        <v>0.6</v>
      </c>
      <c r="M23" s="229" t="s">
        <v>223</v>
      </c>
      <c r="N23" s="229">
        <v>0.6</v>
      </c>
      <c r="O23" s="230" t="s">
        <v>224</v>
      </c>
      <c r="P23" s="106"/>
    </row>
    <row r="24" spans="2:16" ht="16.899999999999999" customHeight="1" x14ac:dyDescent="0.15">
      <c r="B24" s="530" t="s">
        <v>234</v>
      </c>
      <c r="C24" s="62" t="s">
        <v>227</v>
      </c>
      <c r="D24" s="544" t="s">
        <v>271</v>
      </c>
      <c r="E24" s="545"/>
      <c r="F24" s="545"/>
      <c r="G24" s="545"/>
      <c r="H24" s="545"/>
      <c r="I24" s="546"/>
      <c r="J24" s="292" t="s">
        <v>292</v>
      </c>
      <c r="K24" s="293" t="s">
        <v>222</v>
      </c>
      <c r="L24" s="293" t="s">
        <v>292</v>
      </c>
      <c r="M24" s="293" t="s">
        <v>223</v>
      </c>
      <c r="N24" s="293" t="s">
        <v>292</v>
      </c>
      <c r="O24" s="294" t="s">
        <v>224</v>
      </c>
      <c r="P24" s="106"/>
    </row>
    <row r="25" spans="2:16" ht="16.899999999999999" customHeight="1" x14ac:dyDescent="0.15">
      <c r="B25" s="531"/>
      <c r="C25" s="63" t="s">
        <v>228</v>
      </c>
      <c r="D25" s="536" t="s">
        <v>271</v>
      </c>
      <c r="E25" s="537"/>
      <c r="F25" s="538"/>
      <c r="G25" s="539"/>
      <c r="H25" s="539"/>
      <c r="I25" s="539"/>
      <c r="J25" s="222" t="s">
        <v>293</v>
      </c>
      <c r="K25" s="223" t="s">
        <v>222</v>
      </c>
      <c r="L25" s="223" t="s">
        <v>297</v>
      </c>
      <c r="M25" s="223" t="s">
        <v>223</v>
      </c>
      <c r="N25" s="223" t="s">
        <v>297</v>
      </c>
      <c r="O25" s="224" t="s">
        <v>224</v>
      </c>
      <c r="P25" s="106"/>
    </row>
    <row r="26" spans="2:16" ht="16.899999999999999" customHeight="1" x14ac:dyDescent="0.15">
      <c r="B26" s="532"/>
      <c r="C26" s="62" t="s">
        <v>229</v>
      </c>
      <c r="D26" s="225">
        <v>0.7</v>
      </c>
      <c r="E26" s="226" t="s">
        <v>240</v>
      </c>
      <c r="F26" s="226">
        <v>0.7</v>
      </c>
      <c r="G26" s="226" t="s">
        <v>241</v>
      </c>
      <c r="H26" s="226">
        <v>0.8</v>
      </c>
      <c r="I26" s="227" t="s">
        <v>242</v>
      </c>
      <c r="J26" s="228">
        <v>0.6</v>
      </c>
      <c r="K26" s="229" t="s">
        <v>222</v>
      </c>
      <c r="L26" s="229">
        <v>0.6</v>
      </c>
      <c r="M26" s="229" t="s">
        <v>223</v>
      </c>
      <c r="N26" s="229">
        <v>0.6</v>
      </c>
      <c r="O26" s="230" t="s">
        <v>224</v>
      </c>
      <c r="P26" s="106"/>
    </row>
    <row r="27" spans="2:16" ht="16.899999999999999" customHeight="1" x14ac:dyDescent="0.15">
      <c r="B27" s="530" t="s">
        <v>235</v>
      </c>
      <c r="C27" s="64" t="s">
        <v>227</v>
      </c>
      <c r="D27" s="544" t="s">
        <v>271</v>
      </c>
      <c r="E27" s="545"/>
      <c r="F27" s="545"/>
      <c r="G27" s="545"/>
      <c r="H27" s="545"/>
      <c r="I27" s="546"/>
      <c r="J27" s="292" t="s">
        <v>292</v>
      </c>
      <c r="K27" s="293" t="s">
        <v>222</v>
      </c>
      <c r="L27" s="293" t="s">
        <v>292</v>
      </c>
      <c r="M27" s="293" t="s">
        <v>223</v>
      </c>
      <c r="N27" s="293" t="s">
        <v>292</v>
      </c>
      <c r="O27" s="294" t="s">
        <v>224</v>
      </c>
      <c r="P27" s="106"/>
    </row>
    <row r="28" spans="2:16" ht="16.899999999999999" customHeight="1" x14ac:dyDescent="0.15">
      <c r="B28" s="531"/>
      <c r="C28" s="63" t="s">
        <v>228</v>
      </c>
      <c r="D28" s="536" t="s">
        <v>271</v>
      </c>
      <c r="E28" s="537"/>
      <c r="F28" s="538"/>
      <c r="G28" s="539"/>
      <c r="H28" s="539"/>
      <c r="I28" s="539"/>
      <c r="J28" s="222" t="s">
        <v>293</v>
      </c>
      <c r="K28" s="223" t="s">
        <v>222</v>
      </c>
      <c r="L28" s="223" t="s">
        <v>297</v>
      </c>
      <c r="M28" s="223" t="s">
        <v>223</v>
      </c>
      <c r="N28" s="223" t="s">
        <v>297</v>
      </c>
      <c r="O28" s="224" t="s">
        <v>224</v>
      </c>
      <c r="P28" s="106"/>
    </row>
    <row r="29" spans="2:16" ht="16.899999999999999" customHeight="1" x14ac:dyDescent="0.15">
      <c r="B29" s="532"/>
      <c r="C29" s="65" t="s">
        <v>229</v>
      </c>
      <c r="D29" s="225">
        <v>0.7</v>
      </c>
      <c r="E29" s="226" t="s">
        <v>240</v>
      </c>
      <c r="F29" s="226">
        <v>0.6</v>
      </c>
      <c r="G29" s="226" t="s">
        <v>241</v>
      </c>
      <c r="H29" s="226">
        <v>0.7</v>
      </c>
      <c r="I29" s="227" t="s">
        <v>242</v>
      </c>
      <c r="J29" s="228">
        <v>0.6</v>
      </c>
      <c r="K29" s="229" t="s">
        <v>222</v>
      </c>
      <c r="L29" s="229">
        <v>0.6</v>
      </c>
      <c r="M29" s="229" t="s">
        <v>223</v>
      </c>
      <c r="N29" s="229">
        <v>0.7</v>
      </c>
      <c r="O29" s="230" t="s">
        <v>224</v>
      </c>
      <c r="P29" s="106"/>
    </row>
    <row r="30" spans="2:16" ht="16.899999999999999" customHeight="1" x14ac:dyDescent="0.15">
      <c r="B30" s="530" t="s">
        <v>236</v>
      </c>
      <c r="C30" s="62" t="s">
        <v>227</v>
      </c>
      <c r="D30" s="544" t="s">
        <v>271</v>
      </c>
      <c r="E30" s="545"/>
      <c r="F30" s="545"/>
      <c r="G30" s="545"/>
      <c r="H30" s="545"/>
      <c r="I30" s="546"/>
      <c r="J30" s="292" t="s">
        <v>292</v>
      </c>
      <c r="K30" s="293" t="s">
        <v>222</v>
      </c>
      <c r="L30" s="293" t="s">
        <v>292</v>
      </c>
      <c r="M30" s="293" t="s">
        <v>223</v>
      </c>
      <c r="N30" s="293" t="s">
        <v>292</v>
      </c>
      <c r="O30" s="294" t="s">
        <v>224</v>
      </c>
      <c r="P30" s="106"/>
    </row>
    <row r="31" spans="2:16" ht="16.899999999999999" customHeight="1" x14ac:dyDescent="0.15">
      <c r="B31" s="531"/>
      <c r="C31" s="63" t="s">
        <v>228</v>
      </c>
      <c r="D31" s="536" t="s">
        <v>271</v>
      </c>
      <c r="E31" s="537"/>
      <c r="F31" s="538"/>
      <c r="G31" s="539"/>
      <c r="H31" s="539"/>
      <c r="I31" s="539"/>
      <c r="J31" s="222" t="s">
        <v>293</v>
      </c>
      <c r="K31" s="223" t="s">
        <v>222</v>
      </c>
      <c r="L31" s="223" t="s">
        <v>297</v>
      </c>
      <c r="M31" s="223" t="s">
        <v>223</v>
      </c>
      <c r="N31" s="223" t="s">
        <v>297</v>
      </c>
      <c r="O31" s="224" t="s">
        <v>224</v>
      </c>
      <c r="P31" s="106"/>
    </row>
    <row r="32" spans="2:16" ht="16.899999999999999" customHeight="1" x14ac:dyDescent="0.15">
      <c r="B32" s="532"/>
      <c r="C32" s="62" t="s">
        <v>229</v>
      </c>
      <c r="D32" s="225">
        <v>0.6</v>
      </c>
      <c r="E32" s="226" t="s">
        <v>240</v>
      </c>
      <c r="F32" s="226">
        <v>0.5</v>
      </c>
      <c r="G32" s="226" t="s">
        <v>241</v>
      </c>
      <c r="H32" s="226">
        <v>0.7</v>
      </c>
      <c r="I32" s="227" t="s">
        <v>242</v>
      </c>
      <c r="J32" s="228">
        <v>0.6</v>
      </c>
      <c r="K32" s="229" t="s">
        <v>222</v>
      </c>
      <c r="L32" s="229">
        <v>0.6</v>
      </c>
      <c r="M32" s="229" t="s">
        <v>223</v>
      </c>
      <c r="N32" s="229">
        <v>0.7</v>
      </c>
      <c r="O32" s="230" t="s">
        <v>224</v>
      </c>
      <c r="P32" s="106"/>
    </row>
    <row r="33" spans="2:16" ht="16.899999999999999" customHeight="1" x14ac:dyDescent="0.15">
      <c r="B33" s="530" t="s">
        <v>237</v>
      </c>
      <c r="C33" s="64" t="s">
        <v>227</v>
      </c>
      <c r="D33" s="544" t="s">
        <v>271</v>
      </c>
      <c r="E33" s="545"/>
      <c r="F33" s="545"/>
      <c r="G33" s="545"/>
      <c r="H33" s="545"/>
      <c r="I33" s="546"/>
      <c r="J33" s="292" t="s">
        <v>292</v>
      </c>
      <c r="K33" s="293" t="s">
        <v>222</v>
      </c>
      <c r="L33" s="293" t="s">
        <v>292</v>
      </c>
      <c r="M33" s="293" t="s">
        <v>223</v>
      </c>
      <c r="N33" s="293" t="s">
        <v>292</v>
      </c>
      <c r="O33" s="294" t="s">
        <v>224</v>
      </c>
      <c r="P33" s="106"/>
    </row>
    <row r="34" spans="2:16" ht="16.899999999999999" customHeight="1" x14ac:dyDescent="0.15">
      <c r="B34" s="531"/>
      <c r="C34" s="63" t="s">
        <v>228</v>
      </c>
      <c r="D34" s="536" t="s">
        <v>271</v>
      </c>
      <c r="E34" s="537"/>
      <c r="F34" s="538"/>
      <c r="G34" s="539"/>
      <c r="H34" s="539"/>
      <c r="I34" s="539"/>
      <c r="J34" s="222" t="s">
        <v>293</v>
      </c>
      <c r="K34" s="223" t="s">
        <v>222</v>
      </c>
      <c r="L34" s="223" t="s">
        <v>297</v>
      </c>
      <c r="M34" s="223" t="s">
        <v>223</v>
      </c>
      <c r="N34" s="223" t="s">
        <v>297</v>
      </c>
      <c r="O34" s="224" t="s">
        <v>224</v>
      </c>
      <c r="P34" s="106"/>
    </row>
    <row r="35" spans="2:16" ht="16.899999999999999" customHeight="1" x14ac:dyDescent="0.15">
      <c r="B35" s="532"/>
      <c r="C35" s="65" t="s">
        <v>229</v>
      </c>
      <c r="D35" s="225">
        <v>0.6</v>
      </c>
      <c r="E35" s="226" t="s">
        <v>240</v>
      </c>
      <c r="F35" s="226">
        <v>0.5</v>
      </c>
      <c r="G35" s="226" t="s">
        <v>241</v>
      </c>
      <c r="H35" s="226">
        <v>0.6</v>
      </c>
      <c r="I35" s="227" t="s">
        <v>242</v>
      </c>
      <c r="J35" s="228">
        <v>0.5</v>
      </c>
      <c r="K35" s="229" t="s">
        <v>222</v>
      </c>
      <c r="L35" s="229">
        <v>0.5</v>
      </c>
      <c r="M35" s="229" t="s">
        <v>223</v>
      </c>
      <c r="N35" s="229">
        <v>0.6</v>
      </c>
      <c r="O35" s="230" t="s">
        <v>224</v>
      </c>
      <c r="P35" s="106"/>
    </row>
    <row r="36" spans="2:16" ht="16.899999999999999" customHeight="1" x14ac:dyDescent="0.15">
      <c r="B36" s="530" t="s">
        <v>238</v>
      </c>
      <c r="C36" s="64" t="s">
        <v>227</v>
      </c>
      <c r="D36" s="544" t="s">
        <v>271</v>
      </c>
      <c r="E36" s="545"/>
      <c r="F36" s="545"/>
      <c r="G36" s="545"/>
      <c r="H36" s="545"/>
      <c r="I36" s="546"/>
      <c r="J36" s="292" t="s">
        <v>292</v>
      </c>
      <c r="K36" s="293" t="s">
        <v>222</v>
      </c>
      <c r="L36" s="293" t="s">
        <v>292</v>
      </c>
      <c r="M36" s="293" t="s">
        <v>223</v>
      </c>
      <c r="N36" s="293" t="s">
        <v>292</v>
      </c>
      <c r="O36" s="294" t="s">
        <v>224</v>
      </c>
      <c r="P36" s="106"/>
    </row>
    <row r="37" spans="2:16" ht="16.899999999999999" customHeight="1" x14ac:dyDescent="0.15">
      <c r="B37" s="531"/>
      <c r="C37" s="63" t="s">
        <v>228</v>
      </c>
      <c r="D37" s="536" t="s">
        <v>271</v>
      </c>
      <c r="E37" s="537"/>
      <c r="F37" s="538"/>
      <c r="G37" s="539"/>
      <c r="H37" s="539"/>
      <c r="I37" s="539"/>
      <c r="J37" s="222" t="s">
        <v>293</v>
      </c>
      <c r="K37" s="223" t="s">
        <v>222</v>
      </c>
      <c r="L37" s="223" t="s">
        <v>297</v>
      </c>
      <c r="M37" s="223" t="s">
        <v>223</v>
      </c>
      <c r="N37" s="223" t="s">
        <v>297</v>
      </c>
      <c r="O37" s="224" t="s">
        <v>224</v>
      </c>
      <c r="P37" s="106"/>
    </row>
    <row r="38" spans="2:16" ht="16.899999999999999" customHeight="1" x14ac:dyDescent="0.15">
      <c r="B38" s="532"/>
      <c r="C38" s="65" t="s">
        <v>229</v>
      </c>
      <c r="D38" s="225">
        <v>0.5</v>
      </c>
      <c r="E38" s="226" t="s">
        <v>240</v>
      </c>
      <c r="F38" s="226">
        <v>0.5</v>
      </c>
      <c r="G38" s="226" t="s">
        <v>241</v>
      </c>
      <c r="H38" s="226">
        <v>0.6</v>
      </c>
      <c r="I38" s="227" t="s">
        <v>242</v>
      </c>
      <c r="J38" s="228">
        <v>0.5</v>
      </c>
      <c r="K38" s="229" t="s">
        <v>222</v>
      </c>
      <c r="L38" s="229">
        <v>0.5</v>
      </c>
      <c r="M38" s="229" t="s">
        <v>223</v>
      </c>
      <c r="N38" s="229">
        <v>0.5</v>
      </c>
      <c r="O38" s="230" t="s">
        <v>224</v>
      </c>
      <c r="P38" s="106"/>
    </row>
    <row r="39" spans="2:16" ht="16.899999999999999" customHeight="1" x14ac:dyDescent="0.15">
      <c r="B39" s="530" t="s">
        <v>239</v>
      </c>
      <c r="C39" s="62" t="s">
        <v>227</v>
      </c>
      <c r="D39" s="544" t="s">
        <v>570</v>
      </c>
      <c r="E39" s="545"/>
      <c r="F39" s="545"/>
      <c r="G39" s="545"/>
      <c r="H39" s="545"/>
      <c r="I39" s="546"/>
      <c r="J39" s="292" t="s">
        <v>292</v>
      </c>
      <c r="K39" s="293" t="s">
        <v>222</v>
      </c>
      <c r="L39" s="293" t="s">
        <v>292</v>
      </c>
      <c r="M39" s="293" t="s">
        <v>223</v>
      </c>
      <c r="N39" s="293" t="s">
        <v>292</v>
      </c>
      <c r="O39" s="294" t="s">
        <v>224</v>
      </c>
      <c r="P39" s="106"/>
    </row>
    <row r="40" spans="2:16" ht="16.899999999999999" customHeight="1" x14ac:dyDescent="0.15">
      <c r="B40" s="531"/>
      <c r="C40" s="63" t="s">
        <v>228</v>
      </c>
      <c r="D40" s="547" t="s">
        <v>271</v>
      </c>
      <c r="E40" s="548"/>
      <c r="F40" s="548"/>
      <c r="G40" s="548"/>
      <c r="H40" s="548"/>
      <c r="I40" s="549"/>
      <c r="J40" s="222" t="s">
        <v>293</v>
      </c>
      <c r="K40" s="223" t="s">
        <v>222</v>
      </c>
      <c r="L40" s="223" t="s">
        <v>297</v>
      </c>
      <c r="M40" s="223" t="s">
        <v>223</v>
      </c>
      <c r="N40" s="223" t="s">
        <v>297</v>
      </c>
      <c r="O40" s="224" t="s">
        <v>224</v>
      </c>
      <c r="P40" s="106"/>
    </row>
    <row r="41" spans="2:16" ht="16.899999999999999" customHeight="1" thickBot="1" x14ac:dyDescent="0.2">
      <c r="B41" s="550"/>
      <c r="C41" s="66" t="s">
        <v>229</v>
      </c>
      <c r="D41" s="514">
        <v>0.5</v>
      </c>
      <c r="E41" s="515" t="s">
        <v>222</v>
      </c>
      <c r="F41" s="515">
        <v>0.5</v>
      </c>
      <c r="G41" s="515" t="s">
        <v>223</v>
      </c>
      <c r="H41" s="515">
        <v>0.6</v>
      </c>
      <c r="I41" s="516" t="s">
        <v>242</v>
      </c>
      <c r="J41" s="517">
        <v>0.5</v>
      </c>
      <c r="K41" s="518" t="s">
        <v>222</v>
      </c>
      <c r="L41" s="518">
        <v>0.5</v>
      </c>
      <c r="M41" s="518" t="s">
        <v>223</v>
      </c>
      <c r="N41" s="518">
        <v>0.5</v>
      </c>
      <c r="O41" s="519" t="s">
        <v>224</v>
      </c>
      <c r="P41" s="106"/>
    </row>
    <row r="42" spans="2:16" ht="15" customHeight="1" x14ac:dyDescent="0.15">
      <c r="G42" s="88"/>
    </row>
    <row r="43" spans="2:16" x14ac:dyDescent="0.15">
      <c r="G43" s="88"/>
    </row>
    <row r="44" spans="2:16" x14ac:dyDescent="0.15">
      <c r="G44" s="88"/>
    </row>
    <row r="45" spans="2:16" x14ac:dyDescent="0.15">
      <c r="G45" s="88"/>
    </row>
    <row r="46" spans="2:16" x14ac:dyDescent="0.15">
      <c r="G46" s="88"/>
    </row>
    <row r="47" spans="2:16" x14ac:dyDescent="0.15">
      <c r="G47" s="88"/>
    </row>
    <row r="48" spans="2:16" x14ac:dyDescent="0.15">
      <c r="G48" s="88"/>
    </row>
    <row r="49" spans="7:7" x14ac:dyDescent="0.15">
      <c r="G49" s="88"/>
    </row>
    <row r="50" spans="7:7" x14ac:dyDescent="0.15">
      <c r="G50" s="88"/>
    </row>
    <row r="51" spans="7:7" x14ac:dyDescent="0.15">
      <c r="G51" s="88"/>
    </row>
    <row r="52" spans="7:7" x14ac:dyDescent="0.15">
      <c r="G52" s="88"/>
    </row>
    <row r="53" spans="7:7" x14ac:dyDescent="0.15">
      <c r="G53" s="88"/>
    </row>
    <row r="54" spans="7:7" x14ac:dyDescent="0.15">
      <c r="G54" s="88"/>
    </row>
    <row r="55" spans="7:7" x14ac:dyDescent="0.15">
      <c r="G55" s="88"/>
    </row>
    <row r="56" spans="7:7" x14ac:dyDescent="0.15">
      <c r="G56" s="88"/>
    </row>
    <row r="57" spans="7:7" x14ac:dyDescent="0.15">
      <c r="G57" s="88"/>
    </row>
    <row r="58" spans="7:7" x14ac:dyDescent="0.15">
      <c r="G58" s="88"/>
    </row>
    <row r="59" spans="7:7" x14ac:dyDescent="0.15">
      <c r="G59" s="88"/>
    </row>
    <row r="60" spans="7:7" x14ac:dyDescent="0.15">
      <c r="G60" s="88"/>
    </row>
    <row r="61" spans="7:7" x14ac:dyDescent="0.15">
      <c r="G61" s="88"/>
    </row>
    <row r="62" spans="7:7" x14ac:dyDescent="0.15">
      <c r="G62" s="88"/>
    </row>
    <row r="63" spans="7:7" x14ac:dyDescent="0.15">
      <c r="G63" s="88"/>
    </row>
  </sheetData>
  <mergeCells count="40">
    <mergeCell ref="B24:B26"/>
    <mergeCell ref="D24:I24"/>
    <mergeCell ref="D25:I25"/>
    <mergeCell ref="B21:B23"/>
    <mergeCell ref="D21:I21"/>
    <mergeCell ref="D22:I22"/>
    <mergeCell ref="B39:B41"/>
    <mergeCell ref="D39:I39"/>
    <mergeCell ref="D40:I40"/>
    <mergeCell ref="B36:B38"/>
    <mergeCell ref="D36:I36"/>
    <mergeCell ref="D37:I37"/>
    <mergeCell ref="B27:B29"/>
    <mergeCell ref="B33:B35"/>
    <mergeCell ref="D33:I33"/>
    <mergeCell ref="D34:I34"/>
    <mergeCell ref="B30:B32"/>
    <mergeCell ref="D30:I30"/>
    <mergeCell ref="D31:I31"/>
    <mergeCell ref="D27:I27"/>
    <mergeCell ref="D28:I28"/>
    <mergeCell ref="B15:B17"/>
    <mergeCell ref="B18:B20"/>
    <mergeCell ref="D18:I18"/>
    <mergeCell ref="D19:I19"/>
    <mergeCell ref="D15:I15"/>
    <mergeCell ref="D16:I16"/>
    <mergeCell ref="B12:B14"/>
    <mergeCell ref="D12:I12"/>
    <mergeCell ref="D13:I13"/>
    <mergeCell ref="B9:B11"/>
    <mergeCell ref="B6:B8"/>
    <mergeCell ref="D10:I10"/>
    <mergeCell ref="D6:I6"/>
    <mergeCell ref="D7:I7"/>
    <mergeCell ref="D9:I9"/>
    <mergeCell ref="B4:C4"/>
    <mergeCell ref="D4:I4"/>
    <mergeCell ref="B2:O2"/>
    <mergeCell ref="J4:O4"/>
  </mergeCells>
  <phoneticPr fontId="4"/>
  <pageMargins left="0.70866141732283472" right="0.70866141732283472" top="0.98425196850393704" bottom="0.59055118110236227" header="0" footer="0"/>
  <pageSetup paperSize="9" orientation="portrait" r:id="rId1"/>
  <headerFooter alignWithMargins="0">
    <oddHeader>&amp;L令和5年度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M77"/>
  <sheetViews>
    <sheetView zoomScaleNormal="100" zoomScaleSheetLayoutView="90" workbookViewId="0"/>
  </sheetViews>
  <sheetFormatPr defaultRowHeight="13.5" x14ac:dyDescent="0.15"/>
  <cols>
    <col min="1" max="1" width="4.375" customWidth="1"/>
    <col min="2" max="2" width="5.5" customWidth="1"/>
    <col min="3" max="3" width="6.875" customWidth="1"/>
    <col min="4" max="4" width="15.625" customWidth="1"/>
    <col min="5" max="5" width="11.75" customWidth="1"/>
  </cols>
  <sheetData>
    <row r="1" spans="1:13" ht="14.25" x14ac:dyDescent="0.15">
      <c r="A1" s="3"/>
      <c r="B1" s="551" t="s">
        <v>615</v>
      </c>
      <c r="C1" s="551"/>
      <c r="D1" s="551"/>
      <c r="E1" s="551"/>
      <c r="F1" s="551"/>
      <c r="G1" s="551"/>
      <c r="H1" s="551"/>
      <c r="I1" s="3"/>
      <c r="J1" s="3"/>
      <c r="K1" s="3"/>
      <c r="L1" s="3"/>
      <c r="M1" s="4"/>
    </row>
    <row r="2" spans="1:13" ht="14.25" thickBot="1" x14ac:dyDescent="0.2">
      <c r="A2" s="3"/>
      <c r="B2" s="3"/>
      <c r="C2" s="16"/>
      <c r="D2" s="3"/>
      <c r="E2" s="3"/>
      <c r="F2" s="3"/>
      <c r="G2" s="3"/>
      <c r="H2" s="3"/>
      <c r="I2" s="3"/>
      <c r="J2" s="3"/>
      <c r="K2" s="3"/>
      <c r="L2" s="3"/>
      <c r="M2" s="4"/>
    </row>
    <row r="3" spans="1:13" ht="14.25" thickBot="1" x14ac:dyDescent="0.2">
      <c r="A3" s="3"/>
      <c r="B3" s="4"/>
      <c r="C3" s="10"/>
      <c r="D3" s="12"/>
      <c r="E3" s="4"/>
      <c r="F3" s="41" t="s">
        <v>7</v>
      </c>
      <c r="G3" s="552" t="s">
        <v>8</v>
      </c>
      <c r="H3" s="553"/>
      <c r="I3" s="553"/>
      <c r="J3" s="553"/>
      <c r="K3" s="554"/>
      <c r="L3" s="4"/>
      <c r="M3" s="4"/>
    </row>
    <row r="4" spans="1:13" ht="15" thickBot="1" x14ac:dyDescent="0.2">
      <c r="A4" s="3"/>
      <c r="B4" s="555" t="s">
        <v>23</v>
      </c>
      <c r="C4" s="556"/>
      <c r="D4" s="31" t="s">
        <v>197</v>
      </c>
      <c r="E4" s="4"/>
      <c r="F4" s="42"/>
      <c r="G4" s="557" t="s">
        <v>301</v>
      </c>
      <c r="H4" s="558"/>
      <c r="I4" s="558"/>
      <c r="J4" s="558"/>
      <c r="K4" s="559"/>
      <c r="L4" s="4"/>
      <c r="M4" s="4"/>
    </row>
    <row r="5" spans="1:13" ht="14.25" thickBot="1" x14ac:dyDescent="0.2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x14ac:dyDescent="0.15">
      <c r="A6" s="3"/>
      <c r="B6" s="560" t="s">
        <v>124</v>
      </c>
      <c r="C6" s="561"/>
      <c r="D6" s="566" t="s">
        <v>9</v>
      </c>
      <c r="E6" s="567"/>
      <c r="F6" s="233">
        <v>45056</v>
      </c>
      <c r="G6" s="233">
        <v>45112</v>
      </c>
      <c r="H6" s="233">
        <v>45175</v>
      </c>
      <c r="I6" s="388">
        <v>45238</v>
      </c>
      <c r="J6" s="568" t="s">
        <v>0</v>
      </c>
      <c r="K6" s="571" t="s">
        <v>1</v>
      </c>
      <c r="L6" s="574" t="s">
        <v>2</v>
      </c>
      <c r="M6" s="577" t="s">
        <v>15</v>
      </c>
    </row>
    <row r="7" spans="1:13" x14ac:dyDescent="0.15">
      <c r="A7" s="3"/>
      <c r="B7" s="562"/>
      <c r="C7" s="563"/>
      <c r="D7" s="580" t="s">
        <v>14</v>
      </c>
      <c r="E7" s="581"/>
      <c r="F7" s="169">
        <v>0.4201388888888889</v>
      </c>
      <c r="G7" s="169">
        <v>0.43124999999999997</v>
      </c>
      <c r="H7" s="169">
        <v>0.42152777777777778</v>
      </c>
      <c r="I7" s="389">
        <v>0.41319444444444442</v>
      </c>
      <c r="J7" s="569"/>
      <c r="K7" s="572"/>
      <c r="L7" s="575"/>
      <c r="M7" s="578"/>
    </row>
    <row r="8" spans="1:13" x14ac:dyDescent="0.15">
      <c r="A8" s="3"/>
      <c r="B8" s="562"/>
      <c r="C8" s="563"/>
      <c r="D8" s="580" t="s">
        <v>10</v>
      </c>
      <c r="E8" s="581"/>
      <c r="F8" s="172" t="s">
        <v>466</v>
      </c>
      <c r="G8" s="172" t="s">
        <v>302</v>
      </c>
      <c r="H8" s="172" t="s">
        <v>302</v>
      </c>
      <c r="I8" s="390" t="s">
        <v>508</v>
      </c>
      <c r="J8" s="569"/>
      <c r="K8" s="572"/>
      <c r="L8" s="575"/>
      <c r="M8" s="578"/>
    </row>
    <row r="9" spans="1:13" x14ac:dyDescent="0.15">
      <c r="A9" s="3"/>
      <c r="B9" s="562"/>
      <c r="C9" s="563"/>
      <c r="D9" s="580" t="s">
        <v>11</v>
      </c>
      <c r="E9" s="581"/>
      <c r="F9" s="172" t="s">
        <v>466</v>
      </c>
      <c r="G9" s="172" t="s">
        <v>531</v>
      </c>
      <c r="H9" s="172" t="s">
        <v>525</v>
      </c>
      <c r="I9" s="385" t="s">
        <v>508</v>
      </c>
      <c r="J9" s="570"/>
      <c r="K9" s="573"/>
      <c r="L9" s="576"/>
      <c r="M9" s="578"/>
    </row>
    <row r="10" spans="1:13" x14ac:dyDescent="0.15">
      <c r="A10" s="3"/>
      <c r="B10" s="562"/>
      <c r="C10" s="563"/>
      <c r="D10" s="580" t="s">
        <v>12</v>
      </c>
      <c r="E10" s="581"/>
      <c r="F10" s="91">
        <v>19.7</v>
      </c>
      <c r="G10" s="91">
        <v>27.9</v>
      </c>
      <c r="H10" s="91">
        <v>24.6</v>
      </c>
      <c r="I10" s="391">
        <v>12.9</v>
      </c>
      <c r="J10" s="170">
        <f>MAX(F10:I10)</f>
        <v>27.9</v>
      </c>
      <c r="K10" s="411">
        <f>MIN(F10:I10)</f>
        <v>12.9</v>
      </c>
      <c r="L10" s="395">
        <f>AVERAGEA(F10:I10)</f>
        <v>21.274999999999999</v>
      </c>
      <c r="M10" s="578"/>
    </row>
    <row r="11" spans="1:13" ht="14.25" thickBot="1" x14ac:dyDescent="0.2">
      <c r="A11" s="3"/>
      <c r="B11" s="564"/>
      <c r="C11" s="565"/>
      <c r="D11" s="582" t="s">
        <v>13</v>
      </c>
      <c r="E11" s="583"/>
      <c r="F11" s="91">
        <v>9</v>
      </c>
      <c r="G11" s="91">
        <v>20.5</v>
      </c>
      <c r="H11" s="261">
        <v>25.1</v>
      </c>
      <c r="I11" s="391">
        <v>12.5</v>
      </c>
      <c r="J11" s="170">
        <f>MAX(F11:I11)</f>
        <v>25.1</v>
      </c>
      <c r="K11" s="411">
        <f>MIN(F11:I11)</f>
        <v>9</v>
      </c>
      <c r="L11" s="395">
        <f>AVERAGEA(F11:I11)</f>
        <v>16.774999999999999</v>
      </c>
      <c r="M11" s="579"/>
    </row>
    <row r="12" spans="1:13" x14ac:dyDescent="0.15">
      <c r="A12" s="3"/>
      <c r="B12" s="584" t="s">
        <v>125</v>
      </c>
      <c r="C12" s="585"/>
      <c r="D12" s="586"/>
      <c r="E12" s="32" t="s">
        <v>64</v>
      </c>
      <c r="F12" s="587" t="s">
        <v>3</v>
      </c>
      <c r="G12" s="585"/>
      <c r="H12" s="585"/>
      <c r="I12" s="588"/>
      <c r="J12" s="589"/>
      <c r="K12" s="590"/>
      <c r="L12" s="591"/>
      <c r="M12" s="29"/>
    </row>
    <row r="13" spans="1:13" x14ac:dyDescent="0.15">
      <c r="A13" s="3"/>
      <c r="B13" s="19">
        <v>1</v>
      </c>
      <c r="C13" s="592" t="s">
        <v>24</v>
      </c>
      <c r="D13" s="593"/>
      <c r="E13" s="11" t="s">
        <v>105</v>
      </c>
      <c r="F13" s="234">
        <v>55</v>
      </c>
      <c r="G13" s="234">
        <v>360</v>
      </c>
      <c r="H13" s="264">
        <v>560</v>
      </c>
      <c r="I13" s="392">
        <v>520</v>
      </c>
      <c r="J13" s="308">
        <f>IF(MAX(F13:I13)=0,0,MAX(F13:I13))</f>
        <v>560</v>
      </c>
      <c r="K13" s="358">
        <f>IF(MIN(F13:I13)=0,0,MIN(F13:I13))</f>
        <v>55</v>
      </c>
      <c r="L13" s="418">
        <f>IF(AVERAGEA(F13:I13)=0,0,AVERAGEA(F13:I13))</f>
        <v>373.75</v>
      </c>
      <c r="M13" s="594" t="s">
        <v>59</v>
      </c>
    </row>
    <row r="14" spans="1:13" x14ac:dyDescent="0.15">
      <c r="A14" s="3"/>
      <c r="B14" s="19">
        <f>B13+1</f>
        <v>2</v>
      </c>
      <c r="C14" s="592" t="s">
        <v>25</v>
      </c>
      <c r="D14" s="593"/>
      <c r="E14" s="15" t="s">
        <v>114</v>
      </c>
      <c r="F14" s="164" t="s">
        <v>511</v>
      </c>
      <c r="G14" s="172" t="s">
        <v>511</v>
      </c>
      <c r="H14" s="68" t="s">
        <v>546</v>
      </c>
      <c r="I14" s="382" t="s">
        <v>597</v>
      </c>
      <c r="J14" s="413"/>
      <c r="K14" s="408"/>
      <c r="L14" s="409"/>
      <c r="M14" s="578"/>
    </row>
    <row r="15" spans="1:13" x14ac:dyDescent="0.15">
      <c r="A15" s="3"/>
      <c r="B15" s="19">
        <f t="shared" ref="B15:B63" si="0">B14+1</f>
        <v>3</v>
      </c>
      <c r="C15" s="592" t="s">
        <v>26</v>
      </c>
      <c r="D15" s="593"/>
      <c r="E15" s="11" t="s">
        <v>209</v>
      </c>
      <c r="F15" s="239"/>
      <c r="G15" s="179"/>
      <c r="H15" s="265"/>
      <c r="I15" s="393"/>
      <c r="J15" s="239"/>
      <c r="K15" s="179"/>
      <c r="L15" s="393"/>
      <c r="M15" s="595" t="s">
        <v>60</v>
      </c>
    </row>
    <row r="16" spans="1:13" x14ac:dyDescent="0.15">
      <c r="A16" s="3"/>
      <c r="B16" s="19">
        <f t="shared" si="0"/>
        <v>4</v>
      </c>
      <c r="C16" s="592" t="s">
        <v>27</v>
      </c>
      <c r="D16" s="593"/>
      <c r="E16" s="11" t="s">
        <v>106</v>
      </c>
      <c r="F16" s="276"/>
      <c r="G16" s="235"/>
      <c r="H16" s="266"/>
      <c r="I16" s="394"/>
      <c r="J16" s="276"/>
      <c r="K16" s="235"/>
      <c r="L16" s="394"/>
      <c r="M16" s="595"/>
    </row>
    <row r="17" spans="1:13" x14ac:dyDescent="0.15">
      <c r="A17" s="3"/>
      <c r="B17" s="19">
        <f t="shared" si="0"/>
        <v>5</v>
      </c>
      <c r="C17" s="592" t="s">
        <v>28</v>
      </c>
      <c r="D17" s="593"/>
      <c r="E17" s="11" t="s">
        <v>93</v>
      </c>
      <c r="F17" s="239"/>
      <c r="G17" s="179"/>
      <c r="H17" s="265"/>
      <c r="I17" s="393"/>
      <c r="J17" s="239"/>
      <c r="K17" s="179"/>
      <c r="L17" s="393"/>
      <c r="M17" s="595"/>
    </row>
    <row r="18" spans="1:13" x14ac:dyDescent="0.15">
      <c r="A18" s="3"/>
      <c r="B18" s="19">
        <f t="shared" si="0"/>
        <v>6</v>
      </c>
      <c r="C18" s="592" t="s">
        <v>29</v>
      </c>
      <c r="D18" s="593"/>
      <c r="E18" s="11" t="s">
        <v>93</v>
      </c>
      <c r="F18" s="239"/>
      <c r="G18" s="179"/>
      <c r="H18" s="265"/>
      <c r="I18" s="393"/>
      <c r="J18" s="239"/>
      <c r="K18" s="179"/>
      <c r="L18" s="393"/>
      <c r="M18" s="595"/>
    </row>
    <row r="19" spans="1:13" x14ac:dyDescent="0.15">
      <c r="A19" s="3"/>
      <c r="B19" s="19">
        <f t="shared" si="0"/>
        <v>7</v>
      </c>
      <c r="C19" s="592" t="s">
        <v>30</v>
      </c>
      <c r="D19" s="593"/>
      <c r="E19" s="11" t="s">
        <v>93</v>
      </c>
      <c r="F19" s="239"/>
      <c r="G19" s="179"/>
      <c r="H19" s="265"/>
      <c r="I19" s="393"/>
      <c r="J19" s="239"/>
      <c r="K19" s="179"/>
      <c r="L19" s="393"/>
      <c r="M19" s="595"/>
    </row>
    <row r="20" spans="1:13" x14ac:dyDescent="0.15">
      <c r="A20" s="3"/>
      <c r="B20" s="19">
        <f t="shared" si="0"/>
        <v>8</v>
      </c>
      <c r="C20" s="592" t="s">
        <v>31</v>
      </c>
      <c r="D20" s="593"/>
      <c r="E20" s="11" t="s">
        <v>107</v>
      </c>
      <c r="F20" s="239"/>
      <c r="G20" s="179"/>
      <c r="H20" s="265"/>
      <c r="I20" s="393"/>
      <c r="J20" s="239"/>
      <c r="K20" s="179"/>
      <c r="L20" s="393"/>
      <c r="M20" s="595"/>
    </row>
    <row r="21" spans="1:13" x14ac:dyDescent="0.15">
      <c r="A21" s="3"/>
      <c r="B21" s="19">
        <f t="shared" si="0"/>
        <v>9</v>
      </c>
      <c r="C21" s="592" t="s">
        <v>210</v>
      </c>
      <c r="D21" s="593"/>
      <c r="E21" s="11" t="s">
        <v>269</v>
      </c>
      <c r="F21" s="239"/>
      <c r="G21" s="179"/>
      <c r="H21" s="265"/>
      <c r="I21" s="393"/>
      <c r="J21" s="239"/>
      <c r="K21" s="179"/>
      <c r="L21" s="393"/>
      <c r="M21" s="594" t="s">
        <v>498</v>
      </c>
    </row>
    <row r="22" spans="1:13" x14ac:dyDescent="0.15">
      <c r="A22" s="3"/>
      <c r="B22" s="19">
        <f t="shared" si="0"/>
        <v>10</v>
      </c>
      <c r="C22" s="592" t="s">
        <v>32</v>
      </c>
      <c r="D22" s="593"/>
      <c r="E22" s="11" t="s">
        <v>93</v>
      </c>
      <c r="F22" s="239"/>
      <c r="G22" s="179"/>
      <c r="H22" s="265"/>
      <c r="I22" s="393"/>
      <c r="J22" s="239"/>
      <c r="K22" s="179"/>
      <c r="L22" s="393"/>
      <c r="M22" s="578"/>
    </row>
    <row r="23" spans="1:13" x14ac:dyDescent="0.15">
      <c r="A23" s="3"/>
      <c r="B23" s="19">
        <f t="shared" si="0"/>
        <v>11</v>
      </c>
      <c r="C23" s="592" t="s">
        <v>33</v>
      </c>
      <c r="D23" s="593"/>
      <c r="E23" s="11" t="s">
        <v>108</v>
      </c>
      <c r="F23" s="187">
        <v>0.2</v>
      </c>
      <c r="G23" s="187">
        <v>0.1</v>
      </c>
      <c r="H23" s="269" t="s">
        <v>310</v>
      </c>
      <c r="I23" s="395">
        <v>0.2</v>
      </c>
      <c r="J23" s="412">
        <f>IF(MAXA(F23:I23)&lt;0.1,"&lt;0.1",MAXA(F23:I23))</f>
        <v>0.2</v>
      </c>
      <c r="K23" s="91" t="str">
        <f>IF(MINA(F23:I23)&lt;0.1,"&lt;0.1",MINA(F23:I23))</f>
        <v>&lt;0.1</v>
      </c>
      <c r="L23" s="395">
        <f>IF(AVERAGEA(F23:I23)&lt;0.1,"&lt;0.1",AVERAGEA(F23:I23))</f>
        <v>0.125</v>
      </c>
      <c r="M23" s="578"/>
    </row>
    <row r="24" spans="1:13" x14ac:dyDescent="0.15">
      <c r="A24" s="3"/>
      <c r="B24" s="19">
        <f t="shared" si="0"/>
        <v>12</v>
      </c>
      <c r="C24" s="592" t="s">
        <v>34</v>
      </c>
      <c r="D24" s="593"/>
      <c r="E24" s="11" t="s">
        <v>109</v>
      </c>
      <c r="F24" s="277"/>
      <c r="G24" s="178"/>
      <c r="H24" s="268"/>
      <c r="I24" s="396"/>
      <c r="J24" s="178"/>
      <c r="K24" s="178"/>
      <c r="L24" s="396"/>
      <c r="M24" s="578"/>
    </row>
    <row r="25" spans="1:13" x14ac:dyDescent="0.15">
      <c r="A25" s="3"/>
      <c r="B25" s="19">
        <f t="shared" si="0"/>
        <v>13</v>
      </c>
      <c r="C25" s="592" t="s">
        <v>35</v>
      </c>
      <c r="D25" s="593"/>
      <c r="E25" s="11" t="s">
        <v>110</v>
      </c>
      <c r="F25" s="187"/>
      <c r="G25" s="91"/>
      <c r="H25" s="269"/>
      <c r="I25" s="395"/>
      <c r="J25" s="91"/>
      <c r="K25" s="91"/>
      <c r="L25" s="395"/>
      <c r="M25" s="596"/>
    </row>
    <row r="26" spans="1:13" x14ac:dyDescent="0.15">
      <c r="A26" s="3"/>
      <c r="B26" s="19">
        <f t="shared" si="0"/>
        <v>14</v>
      </c>
      <c r="C26" s="592" t="s">
        <v>36</v>
      </c>
      <c r="D26" s="593"/>
      <c r="E26" s="11" t="s">
        <v>111</v>
      </c>
      <c r="F26" s="278"/>
      <c r="G26" s="237"/>
      <c r="H26" s="270"/>
      <c r="I26" s="397"/>
      <c r="J26" s="237"/>
      <c r="K26" s="237"/>
      <c r="L26" s="397"/>
      <c r="M26" s="595" t="s">
        <v>62</v>
      </c>
    </row>
    <row r="27" spans="1:13" x14ac:dyDescent="0.15">
      <c r="A27" s="3"/>
      <c r="B27" s="19">
        <f t="shared" si="0"/>
        <v>15</v>
      </c>
      <c r="C27" s="592" t="s">
        <v>136</v>
      </c>
      <c r="D27" s="593"/>
      <c r="E27" s="11" t="s">
        <v>107</v>
      </c>
      <c r="F27" s="239"/>
      <c r="G27" s="179"/>
      <c r="H27" s="265"/>
      <c r="I27" s="393"/>
      <c r="J27" s="239"/>
      <c r="K27" s="179"/>
      <c r="L27" s="393"/>
      <c r="M27" s="595"/>
    </row>
    <row r="28" spans="1:13" x14ac:dyDescent="0.15">
      <c r="A28" s="3"/>
      <c r="B28" s="19">
        <f>B27+1</f>
        <v>16</v>
      </c>
      <c r="C28" s="597" t="s">
        <v>256</v>
      </c>
      <c r="D28" s="598"/>
      <c r="E28" s="11" t="s">
        <v>88</v>
      </c>
      <c r="F28" s="239"/>
      <c r="G28" s="179"/>
      <c r="H28" s="265"/>
      <c r="I28" s="393"/>
      <c r="J28" s="179"/>
      <c r="K28" s="179"/>
      <c r="L28" s="393"/>
      <c r="M28" s="595"/>
    </row>
    <row r="29" spans="1:13" x14ac:dyDescent="0.15">
      <c r="A29" s="3"/>
      <c r="B29" s="19">
        <f t="shared" si="0"/>
        <v>17</v>
      </c>
      <c r="C29" s="592" t="s">
        <v>137</v>
      </c>
      <c r="D29" s="593"/>
      <c r="E29" s="11" t="s">
        <v>96</v>
      </c>
      <c r="F29" s="239"/>
      <c r="G29" s="179"/>
      <c r="H29" s="265"/>
      <c r="I29" s="393"/>
      <c r="J29" s="179"/>
      <c r="K29" s="179"/>
      <c r="L29" s="393"/>
      <c r="M29" s="595"/>
    </row>
    <row r="30" spans="1:13" x14ac:dyDescent="0.15">
      <c r="A30" s="3"/>
      <c r="B30" s="19">
        <f t="shared" si="0"/>
        <v>18</v>
      </c>
      <c r="C30" s="592" t="s">
        <v>138</v>
      </c>
      <c r="D30" s="593"/>
      <c r="E30" s="11" t="s">
        <v>93</v>
      </c>
      <c r="F30" s="239"/>
      <c r="G30" s="179"/>
      <c r="H30" s="265"/>
      <c r="I30" s="393"/>
      <c r="J30" s="179"/>
      <c r="K30" s="179"/>
      <c r="L30" s="393"/>
      <c r="M30" s="595"/>
    </row>
    <row r="31" spans="1:13" x14ac:dyDescent="0.15">
      <c r="A31" s="3"/>
      <c r="B31" s="19">
        <f t="shared" si="0"/>
        <v>19</v>
      </c>
      <c r="C31" s="592" t="s">
        <v>139</v>
      </c>
      <c r="D31" s="593"/>
      <c r="E31" s="11" t="s">
        <v>93</v>
      </c>
      <c r="F31" s="239"/>
      <c r="G31" s="179"/>
      <c r="H31" s="265"/>
      <c r="I31" s="393"/>
      <c r="J31" s="179"/>
      <c r="K31" s="179"/>
      <c r="L31" s="393"/>
      <c r="M31" s="595"/>
    </row>
    <row r="32" spans="1:13" x14ac:dyDescent="0.15">
      <c r="A32" s="3"/>
      <c r="B32" s="19">
        <f t="shared" si="0"/>
        <v>20</v>
      </c>
      <c r="C32" s="592" t="s">
        <v>140</v>
      </c>
      <c r="D32" s="593"/>
      <c r="E32" s="11" t="s">
        <v>93</v>
      </c>
      <c r="F32" s="239"/>
      <c r="G32" s="179"/>
      <c r="H32" s="265"/>
      <c r="I32" s="393"/>
      <c r="J32" s="179"/>
      <c r="K32" s="179"/>
      <c r="L32" s="393"/>
      <c r="M32" s="595"/>
    </row>
    <row r="33" spans="1:13" x14ac:dyDescent="0.15">
      <c r="A33" s="3"/>
      <c r="B33" s="19">
        <f t="shared" si="0"/>
        <v>21</v>
      </c>
      <c r="C33" s="592" t="s">
        <v>252</v>
      </c>
      <c r="D33" s="593"/>
      <c r="E33" s="11" t="s">
        <v>91</v>
      </c>
      <c r="F33" s="239"/>
      <c r="G33" s="178"/>
      <c r="H33" s="268"/>
      <c r="I33" s="396"/>
      <c r="J33" s="277"/>
      <c r="K33" s="178"/>
      <c r="L33" s="396"/>
      <c r="M33" s="594" t="s">
        <v>61</v>
      </c>
    </row>
    <row r="34" spans="1:13" x14ac:dyDescent="0.15">
      <c r="A34" s="3"/>
      <c r="B34" s="19">
        <f t="shared" si="0"/>
        <v>22</v>
      </c>
      <c r="C34" s="592" t="s">
        <v>37</v>
      </c>
      <c r="D34" s="593"/>
      <c r="E34" s="11" t="s">
        <v>96</v>
      </c>
      <c r="F34" s="239"/>
      <c r="G34" s="179"/>
      <c r="H34" s="265"/>
      <c r="I34" s="393"/>
      <c r="J34" s="239"/>
      <c r="K34" s="179"/>
      <c r="L34" s="393"/>
      <c r="M34" s="578"/>
    </row>
    <row r="35" spans="1:13" x14ac:dyDescent="0.15">
      <c r="A35" s="3"/>
      <c r="B35" s="19">
        <f t="shared" si="0"/>
        <v>23</v>
      </c>
      <c r="C35" s="592" t="s">
        <v>141</v>
      </c>
      <c r="D35" s="593"/>
      <c r="E35" s="11" t="s">
        <v>113</v>
      </c>
      <c r="F35" s="239"/>
      <c r="G35" s="179"/>
      <c r="H35" s="265"/>
      <c r="I35" s="393"/>
      <c r="J35" s="239"/>
      <c r="K35" s="179"/>
      <c r="L35" s="393"/>
      <c r="M35" s="578"/>
    </row>
    <row r="36" spans="1:13" x14ac:dyDescent="0.15">
      <c r="A36" s="3"/>
      <c r="B36" s="19">
        <f t="shared" si="0"/>
        <v>24</v>
      </c>
      <c r="C36" s="592" t="s">
        <v>38</v>
      </c>
      <c r="D36" s="593"/>
      <c r="E36" s="11" t="s">
        <v>112</v>
      </c>
      <c r="F36" s="239"/>
      <c r="G36" s="179"/>
      <c r="H36" s="265"/>
      <c r="I36" s="393"/>
      <c r="J36" s="239"/>
      <c r="K36" s="179"/>
      <c r="L36" s="393"/>
      <c r="M36" s="578"/>
    </row>
    <row r="37" spans="1:13" x14ac:dyDescent="0.15">
      <c r="A37" s="3"/>
      <c r="B37" s="19">
        <f t="shared" si="0"/>
        <v>25</v>
      </c>
      <c r="C37" s="592" t="s">
        <v>142</v>
      </c>
      <c r="D37" s="593"/>
      <c r="E37" s="11" t="s">
        <v>90</v>
      </c>
      <c r="F37" s="239"/>
      <c r="G37" s="179"/>
      <c r="H37" s="265"/>
      <c r="I37" s="393"/>
      <c r="J37" s="179"/>
      <c r="K37" s="179"/>
      <c r="L37" s="393"/>
      <c r="M37" s="578"/>
    </row>
    <row r="38" spans="1:13" x14ac:dyDescent="0.15">
      <c r="A38" s="3"/>
      <c r="B38" s="19">
        <f t="shared" si="0"/>
        <v>26</v>
      </c>
      <c r="C38" s="592" t="s">
        <v>39</v>
      </c>
      <c r="D38" s="593"/>
      <c r="E38" s="11" t="s">
        <v>93</v>
      </c>
      <c r="F38" s="239"/>
      <c r="G38" s="179"/>
      <c r="H38" s="265"/>
      <c r="I38" s="393"/>
      <c r="J38" s="239"/>
      <c r="K38" s="179"/>
      <c r="L38" s="393"/>
      <c r="M38" s="578"/>
    </row>
    <row r="39" spans="1:13" x14ac:dyDescent="0.15">
      <c r="A39" s="3"/>
      <c r="B39" s="19">
        <f t="shared" si="0"/>
        <v>27</v>
      </c>
      <c r="C39" s="592" t="s">
        <v>40</v>
      </c>
      <c r="D39" s="593"/>
      <c r="E39" s="11" t="s">
        <v>90</v>
      </c>
      <c r="F39" s="239"/>
      <c r="G39" s="179"/>
      <c r="H39" s="265"/>
      <c r="I39" s="393"/>
      <c r="J39" s="239"/>
      <c r="K39" s="179"/>
      <c r="L39" s="393"/>
      <c r="M39" s="578"/>
    </row>
    <row r="40" spans="1:13" x14ac:dyDescent="0.15">
      <c r="A40" s="3"/>
      <c r="B40" s="19">
        <f t="shared" si="0"/>
        <v>28</v>
      </c>
      <c r="C40" s="592" t="s">
        <v>41</v>
      </c>
      <c r="D40" s="593"/>
      <c r="E40" s="11" t="s">
        <v>112</v>
      </c>
      <c r="F40" s="277"/>
      <c r="G40" s="178"/>
      <c r="H40" s="268"/>
      <c r="I40" s="396"/>
      <c r="J40" s="178"/>
      <c r="K40" s="178"/>
      <c r="L40" s="396"/>
      <c r="M40" s="578"/>
    </row>
    <row r="41" spans="1:13" x14ac:dyDescent="0.15">
      <c r="A41" s="3"/>
      <c r="B41" s="19">
        <f t="shared" si="0"/>
        <v>29</v>
      </c>
      <c r="C41" s="592" t="s">
        <v>143</v>
      </c>
      <c r="D41" s="593"/>
      <c r="E41" s="11" t="s">
        <v>112</v>
      </c>
      <c r="F41" s="239"/>
      <c r="G41" s="179"/>
      <c r="H41" s="265"/>
      <c r="I41" s="393"/>
      <c r="J41" s="239"/>
      <c r="K41" s="179"/>
      <c r="L41" s="393"/>
      <c r="M41" s="596"/>
    </row>
    <row r="42" spans="1:13" x14ac:dyDescent="0.15">
      <c r="A42" s="3"/>
      <c r="B42" s="19">
        <f t="shared" si="0"/>
        <v>30</v>
      </c>
      <c r="C42" s="592" t="s">
        <v>144</v>
      </c>
      <c r="D42" s="593"/>
      <c r="E42" s="11" t="s">
        <v>115</v>
      </c>
      <c r="F42" s="239"/>
      <c r="G42" s="179"/>
      <c r="H42" s="265"/>
      <c r="I42" s="393"/>
      <c r="J42" s="239"/>
      <c r="K42" s="179"/>
      <c r="L42" s="393"/>
      <c r="M42" s="578"/>
    </row>
    <row r="43" spans="1:13" x14ac:dyDescent="0.15">
      <c r="A43" s="3"/>
      <c r="B43" s="19">
        <f t="shared" si="0"/>
        <v>31</v>
      </c>
      <c r="C43" s="592" t="s">
        <v>145</v>
      </c>
      <c r="D43" s="593"/>
      <c r="E43" s="11" t="s">
        <v>116</v>
      </c>
      <c r="F43" s="239"/>
      <c r="G43" s="179"/>
      <c r="H43" s="265"/>
      <c r="I43" s="393"/>
      <c r="J43" s="239"/>
      <c r="K43" s="179"/>
      <c r="L43" s="393"/>
      <c r="M43" s="596"/>
    </row>
    <row r="44" spans="1:13" x14ac:dyDescent="0.15">
      <c r="A44" s="3"/>
      <c r="B44" s="19">
        <f t="shared" si="0"/>
        <v>32</v>
      </c>
      <c r="C44" s="592" t="s">
        <v>42</v>
      </c>
      <c r="D44" s="593"/>
      <c r="E44" s="11" t="s">
        <v>110</v>
      </c>
      <c r="F44" s="277"/>
      <c r="G44" s="178"/>
      <c r="H44" s="268"/>
      <c r="I44" s="396"/>
      <c r="J44" s="178"/>
      <c r="K44" s="178"/>
      <c r="L44" s="396"/>
      <c r="M44" s="594" t="s">
        <v>60</v>
      </c>
    </row>
    <row r="45" spans="1:13" x14ac:dyDescent="0.15">
      <c r="A45" s="3"/>
      <c r="B45" s="19">
        <f t="shared" si="0"/>
        <v>33</v>
      </c>
      <c r="C45" s="592" t="s">
        <v>43</v>
      </c>
      <c r="D45" s="593"/>
      <c r="E45" s="11" t="s">
        <v>89</v>
      </c>
      <c r="F45" s="277"/>
      <c r="G45" s="178"/>
      <c r="H45" s="268"/>
      <c r="I45" s="396"/>
      <c r="J45" s="178"/>
      <c r="K45" s="178"/>
      <c r="L45" s="396"/>
      <c r="M45" s="578"/>
    </row>
    <row r="46" spans="1:13" x14ac:dyDescent="0.15">
      <c r="A46" s="3"/>
      <c r="B46" s="19">
        <f t="shared" si="0"/>
        <v>34</v>
      </c>
      <c r="C46" s="592" t="s">
        <v>44</v>
      </c>
      <c r="D46" s="593"/>
      <c r="E46" s="11" t="s">
        <v>95</v>
      </c>
      <c r="F46" s="277">
        <v>0.35</v>
      </c>
      <c r="G46" s="277">
        <v>0.45</v>
      </c>
      <c r="H46" s="268">
        <v>0.93</v>
      </c>
      <c r="I46" s="396">
        <v>0.56999999999999995</v>
      </c>
      <c r="J46" s="277">
        <f>IF(MAXA(F46:I46)&lt;0.001,"&lt;0.001",MAXA(F46:I46))</f>
        <v>0.93</v>
      </c>
      <c r="K46" s="178">
        <f t="shared" ref="K46" si="1">MIN(F46:I46)</f>
        <v>0.35</v>
      </c>
      <c r="L46" s="396">
        <f>IF(AVERAGEA(F46:I46)&lt;0.001,"&lt;0.001",AVERAGEA(F46:I46))</f>
        <v>0.57499999999999996</v>
      </c>
      <c r="M46" s="578"/>
    </row>
    <row r="47" spans="1:13" x14ac:dyDescent="0.15">
      <c r="A47" s="3"/>
      <c r="B47" s="19">
        <f t="shared" si="0"/>
        <v>35</v>
      </c>
      <c r="C47" s="592" t="s">
        <v>45</v>
      </c>
      <c r="D47" s="593"/>
      <c r="E47" s="11" t="s">
        <v>110</v>
      </c>
      <c r="F47" s="277"/>
      <c r="G47" s="178"/>
      <c r="H47" s="268"/>
      <c r="I47" s="396"/>
      <c r="J47" s="178"/>
      <c r="K47" s="178"/>
      <c r="L47" s="396"/>
      <c r="M47" s="578"/>
    </row>
    <row r="48" spans="1:13" x14ac:dyDescent="0.15">
      <c r="A48" s="3"/>
      <c r="B48" s="19">
        <f t="shared" si="0"/>
        <v>36</v>
      </c>
      <c r="C48" s="592" t="s">
        <v>46</v>
      </c>
      <c r="D48" s="593"/>
      <c r="E48" s="11" t="s">
        <v>65</v>
      </c>
      <c r="F48" s="187"/>
      <c r="G48" s="91"/>
      <c r="H48" s="269"/>
      <c r="I48" s="395"/>
      <c r="J48" s="91"/>
      <c r="K48" s="91"/>
      <c r="L48" s="395"/>
      <c r="M48" s="578"/>
    </row>
    <row r="49" spans="1:13" x14ac:dyDescent="0.15">
      <c r="A49" s="3"/>
      <c r="B49" s="19">
        <f t="shared" si="0"/>
        <v>37</v>
      </c>
      <c r="C49" s="592" t="s">
        <v>47</v>
      </c>
      <c r="D49" s="593"/>
      <c r="E49" s="11" t="s">
        <v>107</v>
      </c>
      <c r="F49" s="239">
        <v>7.0000000000000001E-3</v>
      </c>
      <c r="G49" s="179">
        <v>4.3999999999999997E-2</v>
      </c>
      <c r="H49" s="268">
        <v>0.2</v>
      </c>
      <c r="I49" s="393">
        <v>1.2999999999999999E-2</v>
      </c>
      <c r="J49" s="277">
        <f>IF(MAXA(F49:I49)&lt;0.001,"&lt;0.001",MAXA(F49:I49))</f>
        <v>0.2</v>
      </c>
      <c r="K49" s="179">
        <f t="shared" ref="K49:K51" si="2">MIN(F49:I49)</f>
        <v>7.0000000000000001E-3</v>
      </c>
      <c r="L49" s="393">
        <f>IF(AVERAGEA(F49:I49)&lt;0.001,"&lt;0.001",AVERAGEA(F49:I49))</f>
        <v>6.6000000000000003E-2</v>
      </c>
      <c r="M49" s="596"/>
    </row>
    <row r="50" spans="1:13" x14ac:dyDescent="0.15">
      <c r="A50" s="3"/>
      <c r="B50" s="19">
        <f t="shared" si="0"/>
        <v>38</v>
      </c>
      <c r="C50" s="592" t="s">
        <v>48</v>
      </c>
      <c r="D50" s="593"/>
      <c r="E50" s="11" t="s">
        <v>65</v>
      </c>
      <c r="F50" s="187">
        <v>8.6999999999999993</v>
      </c>
      <c r="G50" s="91">
        <v>8.1</v>
      </c>
      <c r="H50" s="269">
        <v>9.5</v>
      </c>
      <c r="I50" s="395">
        <v>9.9</v>
      </c>
      <c r="J50" s="91">
        <f>IF(MAXA(F50:I50)&lt;0.1,"&lt;0.1",MAXA(F50:I50))</f>
        <v>9.9</v>
      </c>
      <c r="K50" s="91">
        <f t="shared" si="2"/>
        <v>8.1</v>
      </c>
      <c r="L50" s="395">
        <f>IF(AVERAGEA(F50:I50)&lt;0.1,"&lt;0.1",AVERAGEA(F50:I50))</f>
        <v>9.0499999999999989</v>
      </c>
      <c r="M50" s="9" t="s">
        <v>499</v>
      </c>
    </row>
    <row r="51" spans="1:13" x14ac:dyDescent="0.15">
      <c r="A51" s="3"/>
      <c r="B51" s="19">
        <f t="shared" si="0"/>
        <v>39</v>
      </c>
      <c r="C51" s="592" t="s">
        <v>49</v>
      </c>
      <c r="D51" s="593"/>
      <c r="E51" s="11" t="s">
        <v>66</v>
      </c>
      <c r="F51" s="186">
        <v>22</v>
      </c>
      <c r="G51" s="234">
        <v>27</v>
      </c>
      <c r="H51" s="264">
        <v>38</v>
      </c>
      <c r="I51" s="392">
        <v>29</v>
      </c>
      <c r="J51" s="234">
        <f>IF(MAXA(F51:I51)&lt;1,"&lt;1",MAXA(F51:I51))</f>
        <v>38</v>
      </c>
      <c r="K51" s="234">
        <f t="shared" si="2"/>
        <v>22</v>
      </c>
      <c r="L51" s="392">
        <f>IF(AVERAGEA(F51:I51)&lt;1,"&lt;1",AVERAGEA(F51:I51))</f>
        <v>29</v>
      </c>
      <c r="M51" s="595" t="s">
        <v>500</v>
      </c>
    </row>
    <row r="52" spans="1:13" x14ac:dyDescent="0.15">
      <c r="A52" s="3"/>
      <c r="B52" s="19">
        <f t="shared" si="0"/>
        <v>40</v>
      </c>
      <c r="C52" s="592" t="s">
        <v>50</v>
      </c>
      <c r="D52" s="593"/>
      <c r="E52" s="11" t="s">
        <v>67</v>
      </c>
      <c r="F52" s="186">
        <v>60</v>
      </c>
      <c r="G52" s="234">
        <v>68</v>
      </c>
      <c r="H52" s="264">
        <v>120</v>
      </c>
      <c r="I52" s="392">
        <v>83</v>
      </c>
      <c r="J52" s="234">
        <f>IF(MAXA(F52:I52)&lt;1,"&lt;1",MAXA(F52:I52))</f>
        <v>120</v>
      </c>
      <c r="K52" s="234">
        <f>MIN(F52:I52)</f>
        <v>60</v>
      </c>
      <c r="L52" s="392">
        <f>IF(AVERAGEA(F52:I52)&lt;1,"&lt;1",AVERAGEA(F52:I52))</f>
        <v>82.75</v>
      </c>
      <c r="M52" s="595"/>
    </row>
    <row r="53" spans="1:13" x14ac:dyDescent="0.15">
      <c r="A53" s="3"/>
      <c r="B53" s="19">
        <f t="shared" si="0"/>
        <v>41</v>
      </c>
      <c r="C53" s="592" t="s">
        <v>51</v>
      </c>
      <c r="D53" s="593"/>
      <c r="E53" s="11" t="s">
        <v>89</v>
      </c>
      <c r="F53" s="277"/>
      <c r="G53" s="178"/>
      <c r="H53" s="268"/>
      <c r="I53" s="396"/>
      <c r="J53" s="178"/>
      <c r="K53" s="178"/>
      <c r="L53" s="396"/>
      <c r="M53" s="595" t="s">
        <v>62</v>
      </c>
    </row>
    <row r="54" spans="1:13" x14ac:dyDescent="0.15">
      <c r="A54" s="3"/>
      <c r="B54" s="19">
        <f t="shared" si="0"/>
        <v>42</v>
      </c>
      <c r="C54" s="592" t="s">
        <v>244</v>
      </c>
      <c r="D54" s="593"/>
      <c r="E54" s="11" t="s">
        <v>117</v>
      </c>
      <c r="F54" s="279"/>
      <c r="G54" s="288"/>
      <c r="H54" s="311"/>
      <c r="I54" s="398"/>
      <c r="J54" s="198"/>
      <c r="K54" s="288"/>
      <c r="L54" s="398"/>
      <c r="M54" s="595"/>
    </row>
    <row r="55" spans="1:13" x14ac:dyDescent="0.15">
      <c r="A55" s="3"/>
      <c r="B55" s="19">
        <f t="shared" si="0"/>
        <v>43</v>
      </c>
      <c r="C55" s="592" t="s">
        <v>245</v>
      </c>
      <c r="D55" s="593"/>
      <c r="E55" s="11" t="s">
        <v>117</v>
      </c>
      <c r="F55" s="279"/>
      <c r="G55" s="288"/>
      <c r="H55" s="311"/>
      <c r="I55" s="398"/>
      <c r="J55" s="419"/>
      <c r="K55" s="420"/>
      <c r="L55" s="421"/>
      <c r="M55" s="595"/>
    </row>
    <row r="56" spans="1:13" x14ac:dyDescent="0.15">
      <c r="A56" s="3"/>
      <c r="B56" s="19">
        <f t="shared" si="0"/>
        <v>44</v>
      </c>
      <c r="C56" s="592" t="s">
        <v>52</v>
      </c>
      <c r="D56" s="593"/>
      <c r="E56" s="11" t="s">
        <v>96</v>
      </c>
      <c r="F56" s="239"/>
      <c r="G56" s="179"/>
      <c r="H56" s="265"/>
      <c r="I56" s="393"/>
      <c r="J56" s="239"/>
      <c r="K56" s="179"/>
      <c r="L56" s="393"/>
      <c r="M56" s="595"/>
    </row>
    <row r="57" spans="1:13" x14ac:dyDescent="0.15">
      <c r="A57" s="3"/>
      <c r="B57" s="19">
        <f t="shared" si="0"/>
        <v>45</v>
      </c>
      <c r="C57" s="592" t="s">
        <v>53</v>
      </c>
      <c r="D57" s="593"/>
      <c r="E57" s="11" t="s">
        <v>118</v>
      </c>
      <c r="F57" s="278"/>
      <c r="G57" s="237"/>
      <c r="H57" s="270"/>
      <c r="I57" s="397"/>
      <c r="J57" s="278"/>
      <c r="K57" s="237"/>
      <c r="L57" s="397"/>
      <c r="M57" s="595"/>
    </row>
    <row r="58" spans="1:13" x14ac:dyDescent="0.15">
      <c r="A58" s="3"/>
      <c r="B58" s="28">
        <f t="shared" si="0"/>
        <v>46</v>
      </c>
      <c r="C58" s="592" t="s">
        <v>128</v>
      </c>
      <c r="D58" s="593"/>
      <c r="E58" s="11" t="s">
        <v>97</v>
      </c>
      <c r="F58" s="187">
        <v>0.83399999999999996</v>
      </c>
      <c r="G58" s="91">
        <v>3.43</v>
      </c>
      <c r="H58" s="269">
        <v>4.24</v>
      </c>
      <c r="I58" s="395">
        <v>2.4900000000000002</v>
      </c>
      <c r="J58" s="170">
        <f>IF(MAXA(F58:I58)&lt;0.3,"&lt;0.3",MAXA(F58:I58))</f>
        <v>4.24</v>
      </c>
      <c r="K58" s="91">
        <f>IF(MINA(F58:I58)&lt;0.3,"&lt;0.3",MINA(F58:I58))</f>
        <v>0.83399999999999996</v>
      </c>
      <c r="L58" s="395">
        <f>IF(AVERAGEA(F58:I58)&lt;0.3,"&lt;0.3",AVERAGEA(F58:I58))</f>
        <v>2.7485000000000004</v>
      </c>
      <c r="M58" s="595" t="s">
        <v>63</v>
      </c>
    </row>
    <row r="59" spans="1:13" x14ac:dyDescent="0.15">
      <c r="A59" s="3"/>
      <c r="B59" s="19">
        <f t="shared" si="0"/>
        <v>47</v>
      </c>
      <c r="C59" s="592" t="s">
        <v>54</v>
      </c>
      <c r="D59" s="593"/>
      <c r="E59" s="11" t="s">
        <v>68</v>
      </c>
      <c r="F59" s="187">
        <v>7.3</v>
      </c>
      <c r="G59" s="91">
        <v>7.4</v>
      </c>
      <c r="H59" s="269">
        <v>7.7</v>
      </c>
      <c r="I59" s="395">
        <v>7.7</v>
      </c>
      <c r="J59" s="170">
        <f>MAX(F59:I59)</f>
        <v>7.7</v>
      </c>
      <c r="K59" s="91">
        <f>MIN(F59:I59)</f>
        <v>7.3</v>
      </c>
      <c r="L59" s="395">
        <f>AVERAGEA(F59:I59)</f>
        <v>7.5249999999999995</v>
      </c>
      <c r="M59" s="595"/>
    </row>
    <row r="60" spans="1:13" x14ac:dyDescent="0.15">
      <c r="A60" s="3"/>
      <c r="B60" s="19">
        <f t="shared" si="0"/>
        <v>48</v>
      </c>
      <c r="C60" s="592" t="s">
        <v>55</v>
      </c>
      <c r="D60" s="593"/>
      <c r="E60" s="11" t="s">
        <v>121</v>
      </c>
      <c r="F60" s="186"/>
      <c r="G60" s="234"/>
      <c r="H60" s="264"/>
      <c r="I60" s="392"/>
      <c r="J60" s="171"/>
      <c r="K60" s="234"/>
      <c r="L60" s="392"/>
      <c r="M60" s="595"/>
    </row>
    <row r="61" spans="1:13" x14ac:dyDescent="0.15">
      <c r="A61" s="3"/>
      <c r="B61" s="19">
        <f t="shared" si="0"/>
        <v>49</v>
      </c>
      <c r="C61" s="592" t="s">
        <v>56</v>
      </c>
      <c r="D61" s="593"/>
      <c r="E61" s="11" t="s">
        <v>121</v>
      </c>
      <c r="F61" s="234" t="s">
        <v>467</v>
      </c>
      <c r="G61" s="234" t="s">
        <v>467</v>
      </c>
      <c r="H61" s="234" t="s">
        <v>271</v>
      </c>
      <c r="I61" s="392" t="s">
        <v>598</v>
      </c>
      <c r="J61" s="171"/>
      <c r="K61" s="234"/>
      <c r="L61" s="392"/>
      <c r="M61" s="595"/>
    </row>
    <row r="62" spans="1:13" x14ac:dyDescent="0.15">
      <c r="A62" s="3"/>
      <c r="B62" s="19">
        <f t="shared" si="0"/>
        <v>50</v>
      </c>
      <c r="C62" s="592" t="s">
        <v>57</v>
      </c>
      <c r="D62" s="593"/>
      <c r="E62" s="11" t="s">
        <v>119</v>
      </c>
      <c r="F62" s="187">
        <v>5.0999999999999996</v>
      </c>
      <c r="G62" s="186">
        <v>13</v>
      </c>
      <c r="H62" s="246">
        <v>31</v>
      </c>
      <c r="I62" s="392">
        <v>16</v>
      </c>
      <c r="J62" s="171">
        <f>IF(MAXA(F62:I62)&lt;0.5,"&lt;0.5",MAXA(F62:I62))</f>
        <v>31</v>
      </c>
      <c r="K62" s="91">
        <f>MIN(F62:I62)</f>
        <v>5.0999999999999996</v>
      </c>
      <c r="L62" s="395">
        <f>IF(AVERAGEA(F62:I62)&lt;0.5,"&lt;0.5",AVERAGEA(F62:I62))</f>
        <v>16.274999999999999</v>
      </c>
      <c r="M62" s="595"/>
    </row>
    <row r="63" spans="1:13" ht="14.25" thickBot="1" x14ac:dyDescent="0.2">
      <c r="A63" s="3"/>
      <c r="B63" s="24">
        <f t="shared" si="0"/>
        <v>51</v>
      </c>
      <c r="C63" s="600" t="s">
        <v>58</v>
      </c>
      <c r="D63" s="601"/>
      <c r="E63" s="25" t="s">
        <v>120</v>
      </c>
      <c r="F63" s="280">
        <v>6.3</v>
      </c>
      <c r="G63" s="187">
        <v>7.1</v>
      </c>
      <c r="H63" s="353">
        <v>15</v>
      </c>
      <c r="I63" s="440">
        <v>10</v>
      </c>
      <c r="J63" s="422">
        <f>IF(MAXA(F63:I63)&lt;0.1,"&lt;0.1",MAXA(F63:I63))</f>
        <v>15</v>
      </c>
      <c r="K63" s="414">
        <f>IF(MINA(F63:I63)&lt;0.1,"&lt;0.1",MINA(F63:I63))</f>
        <v>6.3</v>
      </c>
      <c r="L63" s="399">
        <f>IF(AVERAGEA(F63:I63)&lt;0.1,"&lt;0.1",AVERAGEA(F63:I63))</f>
        <v>9.6</v>
      </c>
      <c r="M63" s="599"/>
    </row>
    <row r="64" spans="1:13" x14ac:dyDescent="0.15">
      <c r="A64" s="3"/>
      <c r="B64" s="584" t="s">
        <v>123</v>
      </c>
      <c r="C64" s="585"/>
      <c r="D64" s="586"/>
      <c r="E64" s="35" t="s">
        <v>133</v>
      </c>
      <c r="F64" s="587" t="s">
        <v>3</v>
      </c>
      <c r="G64" s="585"/>
      <c r="H64" s="585"/>
      <c r="I64" s="588"/>
      <c r="J64" s="587"/>
      <c r="K64" s="585"/>
      <c r="L64" s="588"/>
      <c r="M64" s="29"/>
    </row>
    <row r="65" spans="1:13" x14ac:dyDescent="0.15">
      <c r="A65" s="3"/>
      <c r="B65" s="39">
        <v>1</v>
      </c>
      <c r="C65" s="592" t="s">
        <v>129</v>
      </c>
      <c r="D65" s="593"/>
      <c r="E65" s="30" t="s">
        <v>158</v>
      </c>
      <c r="F65" s="187" t="s">
        <v>572</v>
      </c>
      <c r="G65" s="187" t="s">
        <v>590</v>
      </c>
      <c r="H65" s="316" t="s">
        <v>572</v>
      </c>
      <c r="I65" s="316">
        <v>0.1</v>
      </c>
      <c r="J65" s="430">
        <f>IF(MAXA(F65:I65)&lt;0.1,"&lt;0.1",MAXA(F65:I65))</f>
        <v>0.1</v>
      </c>
      <c r="K65" s="431" t="str">
        <f>IF(MINA(F65:I65)&lt;0.1,"&lt;0.1",MINA(F65:I65))</f>
        <v>&lt;0.1</v>
      </c>
      <c r="L65" s="432" t="str">
        <f>IF(AVERAGEA(F65:I65)&lt;0.1,"&lt;0.1",AVERAGEA(F65:I65))</f>
        <v>&lt;0.1</v>
      </c>
      <c r="M65" s="594" t="s">
        <v>63</v>
      </c>
    </row>
    <row r="66" spans="1:13" x14ac:dyDescent="0.15">
      <c r="A66" s="3"/>
      <c r="B66" s="40">
        <v>2</v>
      </c>
      <c r="C66" s="592" t="s">
        <v>159</v>
      </c>
      <c r="D66" s="593"/>
      <c r="E66" s="8" t="s">
        <v>158</v>
      </c>
      <c r="F66" s="185" t="s">
        <v>573</v>
      </c>
      <c r="G66" s="316">
        <v>2.6</v>
      </c>
      <c r="H66" s="94">
        <v>17</v>
      </c>
      <c r="I66" s="316">
        <v>3</v>
      </c>
      <c r="J66" s="171">
        <f>IF(MAXA(F66:I66)&lt;0.5,"&lt;0.5",MAXA(F66:I66))</f>
        <v>17</v>
      </c>
      <c r="K66" s="91" t="str">
        <f>IF(MINA(F66:I66)&lt;0.5,"&lt;0.5",MINA(F66:I66))</f>
        <v>&lt;0.5</v>
      </c>
      <c r="L66" s="411">
        <f>IF(AVERAGEA(F66:I66)&lt;0.5,"&lt;0.5",AVERAGEA(F66:I66))</f>
        <v>5.65</v>
      </c>
      <c r="M66" s="578"/>
    </row>
    <row r="67" spans="1:13" x14ac:dyDescent="0.15">
      <c r="A67" s="3"/>
      <c r="B67" s="40">
        <v>3</v>
      </c>
      <c r="C67" s="592" t="s">
        <v>160</v>
      </c>
      <c r="D67" s="593"/>
      <c r="E67" s="8" t="s">
        <v>158</v>
      </c>
      <c r="F67" s="185">
        <v>2.2999999999999998</v>
      </c>
      <c r="G67" s="187">
        <v>5.4</v>
      </c>
      <c r="H67" s="172">
        <v>15</v>
      </c>
      <c r="I67" s="382">
        <v>9.3000000000000007</v>
      </c>
      <c r="J67" s="171">
        <f>IF(MAXA(F67:I67)&lt;0.5,"&lt;0.5",MAXA(F67:I67))</f>
        <v>15</v>
      </c>
      <c r="K67" s="91">
        <f>MIN(F67:I67)</f>
        <v>2.2999999999999998</v>
      </c>
      <c r="L67" s="411">
        <f>IF(AVERAGEA(F67:I67)&lt;0.5,"&lt;0.5",AVERAGEA(F67:I67))</f>
        <v>8</v>
      </c>
      <c r="M67" s="578"/>
    </row>
    <row r="68" spans="1:13" x14ac:dyDescent="0.15">
      <c r="A68" s="3"/>
      <c r="B68" s="40">
        <v>4</v>
      </c>
      <c r="C68" s="592" t="s">
        <v>200</v>
      </c>
      <c r="D68" s="593"/>
      <c r="E68" s="8" t="s">
        <v>158</v>
      </c>
      <c r="F68" s="185">
        <v>11</v>
      </c>
      <c r="G68" s="187">
        <v>8.9</v>
      </c>
      <c r="H68" s="234">
        <v>10</v>
      </c>
      <c r="I68" s="381">
        <v>10</v>
      </c>
      <c r="J68" s="171">
        <f>MAX(F68:I68)</f>
        <v>11</v>
      </c>
      <c r="K68" s="91">
        <f>MIN(F68:I68)</f>
        <v>8.9</v>
      </c>
      <c r="L68" s="264">
        <f>AVERAGEA(F68:I68)</f>
        <v>9.9749999999999996</v>
      </c>
      <c r="M68" s="578"/>
    </row>
    <row r="69" spans="1:13" x14ac:dyDescent="0.15">
      <c r="A69" s="3"/>
      <c r="B69" s="40">
        <v>5</v>
      </c>
      <c r="C69" s="592" t="s">
        <v>162</v>
      </c>
      <c r="D69" s="593"/>
      <c r="E69" s="8" t="s">
        <v>158</v>
      </c>
      <c r="F69" s="281">
        <v>5</v>
      </c>
      <c r="G69" s="317">
        <v>10</v>
      </c>
      <c r="H69" s="234">
        <v>29</v>
      </c>
      <c r="I69" s="317">
        <v>14</v>
      </c>
      <c r="J69" s="171">
        <f>IF(MAXA(F69:I69)&lt;1,"&lt;1",MAXA(F69:I69))</f>
        <v>29</v>
      </c>
      <c r="K69" s="234">
        <f t="shared" ref="K69:K71" si="3">MIN(F69:I69)</f>
        <v>5</v>
      </c>
      <c r="L69" s="264">
        <f>IF(AVERAGEA(F69:I69)&lt;1,"&lt;1",AVERAGEA(F69:I69))</f>
        <v>14.5</v>
      </c>
      <c r="M69" s="578"/>
    </row>
    <row r="70" spans="1:13" x14ac:dyDescent="0.15">
      <c r="A70" s="3"/>
      <c r="B70" s="40">
        <v>6</v>
      </c>
      <c r="C70" s="592" t="s">
        <v>168</v>
      </c>
      <c r="D70" s="593"/>
      <c r="E70" s="8" t="s">
        <v>158</v>
      </c>
      <c r="F70" s="185">
        <v>20</v>
      </c>
      <c r="G70" s="186">
        <v>28</v>
      </c>
      <c r="H70" s="172">
        <v>39</v>
      </c>
      <c r="I70" s="381">
        <v>26</v>
      </c>
      <c r="J70" s="171">
        <f>IF(MAXA(F70:I70)&lt;1,"&lt;1",MAXA(F70:I70))</f>
        <v>39</v>
      </c>
      <c r="K70" s="234">
        <f t="shared" si="3"/>
        <v>20</v>
      </c>
      <c r="L70" s="264">
        <f>IF(AVERAGEA(F70:I70)&lt;1,"&lt;1",AVERAGEA(F70:I70))</f>
        <v>28.25</v>
      </c>
      <c r="M70" s="578"/>
    </row>
    <row r="71" spans="1:13" x14ac:dyDescent="0.15">
      <c r="A71" s="3"/>
      <c r="B71" s="40">
        <v>7</v>
      </c>
      <c r="C71" s="592" t="s">
        <v>131</v>
      </c>
      <c r="D71" s="593"/>
      <c r="E71" s="8" t="s">
        <v>158</v>
      </c>
      <c r="F71" s="185">
        <v>0.25</v>
      </c>
      <c r="G71" s="277">
        <v>0.45</v>
      </c>
      <c r="H71" s="187">
        <v>1.4</v>
      </c>
      <c r="I71" s="400">
        <v>0.55000000000000004</v>
      </c>
      <c r="J71" s="170">
        <f>IF(MAXA(F71:I71)&lt;0.1,"&lt;0.1",MAXA(F71:I71))</f>
        <v>1.4</v>
      </c>
      <c r="K71" s="178">
        <f t="shared" si="3"/>
        <v>0.25</v>
      </c>
      <c r="L71" s="268">
        <f>IF(AVERAGEA(F71:I71)&lt;0.1,"&lt;0.1",AVERAGEA(F71:I71))</f>
        <v>0.66249999999999987</v>
      </c>
      <c r="M71" s="578"/>
    </row>
    <row r="72" spans="1:13" x14ac:dyDescent="0.15">
      <c r="A72" s="3"/>
      <c r="B72" s="39">
        <v>8</v>
      </c>
      <c r="C72" s="592" t="s">
        <v>199</v>
      </c>
      <c r="D72" s="593"/>
      <c r="E72" s="30" t="s">
        <v>158</v>
      </c>
      <c r="F72" s="164">
        <v>1.7000000000000001E-2</v>
      </c>
      <c r="G72" s="332">
        <v>3.5000000000000003E-2</v>
      </c>
      <c r="H72" s="303">
        <v>0.11</v>
      </c>
      <c r="I72" s="401">
        <v>4.9000000000000002E-2</v>
      </c>
      <c r="J72" s="177">
        <f>IF(MAXA(F72:I72)&lt;0.003,"&lt;0.003",MAXA(F72:I72))</f>
        <v>0.11</v>
      </c>
      <c r="K72" s="179">
        <f>MIN(F72:I72)</f>
        <v>1.7000000000000001E-2</v>
      </c>
      <c r="L72" s="265">
        <f>IF(AVERAGEA(F72:I72)&lt;0.003,"&lt;0.003",AVERAGEA(F72:I72))</f>
        <v>5.2750000000000005E-2</v>
      </c>
      <c r="M72" s="578"/>
    </row>
    <row r="73" spans="1:13" x14ac:dyDescent="0.15">
      <c r="A73" s="3"/>
      <c r="B73" s="40">
        <v>9</v>
      </c>
      <c r="C73" s="592" t="s">
        <v>512</v>
      </c>
      <c r="D73" s="593"/>
      <c r="E73" s="8" t="s">
        <v>170</v>
      </c>
      <c r="F73" s="185">
        <v>25</v>
      </c>
      <c r="G73" s="185">
        <v>74</v>
      </c>
      <c r="H73" s="172">
        <v>360</v>
      </c>
      <c r="I73" s="381">
        <v>130</v>
      </c>
      <c r="J73" s="171">
        <f>MAX(F73:I73)</f>
        <v>360</v>
      </c>
      <c r="K73" s="234">
        <f>MIN(F73:I73)</f>
        <v>25</v>
      </c>
      <c r="L73" s="264">
        <f>AVERAGEA(F73:I73)</f>
        <v>147.25</v>
      </c>
      <c r="M73" s="578"/>
    </row>
    <row r="74" spans="1:13" ht="14.25" thickBot="1" x14ac:dyDescent="0.2">
      <c r="A74" s="3"/>
      <c r="B74" s="70">
        <v>10</v>
      </c>
      <c r="C74" s="600" t="s">
        <v>169</v>
      </c>
      <c r="D74" s="601"/>
      <c r="E74" s="36" t="s">
        <v>158</v>
      </c>
      <c r="F74" s="282" t="s">
        <v>468</v>
      </c>
      <c r="G74" s="240" t="s">
        <v>310</v>
      </c>
      <c r="H74" s="240" t="s">
        <v>599</v>
      </c>
      <c r="I74" s="240" t="s">
        <v>599</v>
      </c>
      <c r="J74" s="433" t="str">
        <f>IF(MAXA(F74:I74)&lt;0.1,"&lt;0.1",MAXA(F74:I74))</f>
        <v>&lt;0.1</v>
      </c>
      <c r="K74" s="434" t="str">
        <f>IF(MINA(F74:I74)&lt;0.1,"&lt;0.1",MINA(F74:I74))</f>
        <v>&lt;0.1</v>
      </c>
      <c r="L74" s="410" t="str">
        <f>IF(AVERAGEA(F74:I74)&lt;0.1,"&lt;0.1",AVERAGEA(F74:I74))</f>
        <v>&lt;0.1</v>
      </c>
      <c r="M74" s="579"/>
    </row>
    <row r="75" spans="1:13" ht="14.25" thickBot="1" x14ac:dyDescent="0.2">
      <c r="A75" s="3"/>
      <c r="B75" s="603" t="s">
        <v>127</v>
      </c>
      <c r="C75" s="604"/>
      <c r="D75" s="604"/>
      <c r="E75" s="605"/>
      <c r="F75" s="191" t="s">
        <v>205</v>
      </c>
      <c r="G75" s="215" t="s">
        <v>205</v>
      </c>
      <c r="H75" s="215" t="s">
        <v>205</v>
      </c>
      <c r="I75" s="402" t="s">
        <v>205</v>
      </c>
      <c r="J75" s="113"/>
      <c r="K75" s="114"/>
      <c r="L75" s="114"/>
      <c r="M75" s="4"/>
    </row>
    <row r="76" spans="1:13" x14ac:dyDescent="0.15">
      <c r="A76" s="3"/>
      <c r="B76" s="4"/>
      <c r="C76" s="1"/>
      <c r="D76" s="1"/>
      <c r="E76" s="4"/>
      <c r="F76" s="4"/>
      <c r="G76" s="4"/>
      <c r="H76" s="4"/>
      <c r="I76" s="4"/>
      <c r="J76" s="602"/>
      <c r="K76" s="602"/>
      <c r="L76" s="602"/>
      <c r="M76" s="4"/>
    </row>
    <row r="77" spans="1:13" x14ac:dyDescent="0.15">
      <c r="A77" s="3"/>
      <c r="B77" s="4"/>
      <c r="C77" s="3" t="s">
        <v>495</v>
      </c>
      <c r="D77" s="1"/>
      <c r="E77" s="1"/>
      <c r="F77" s="1"/>
      <c r="G77" s="1"/>
      <c r="H77" s="4"/>
      <c r="I77" s="4"/>
      <c r="J77" s="4"/>
      <c r="K77" s="4"/>
      <c r="L77" s="4"/>
      <c r="M77" s="1"/>
    </row>
  </sheetData>
  <mergeCells count="94">
    <mergeCell ref="J76:L76"/>
    <mergeCell ref="B64:D64"/>
    <mergeCell ref="F64:I64"/>
    <mergeCell ref="J64:L64"/>
    <mergeCell ref="C65:D65"/>
    <mergeCell ref="C71:D71"/>
    <mergeCell ref="C72:D72"/>
    <mergeCell ref="C73:D73"/>
    <mergeCell ref="C74:D74"/>
    <mergeCell ref="B75:E75"/>
    <mergeCell ref="M65:M74"/>
    <mergeCell ref="C66:D66"/>
    <mergeCell ref="C67:D67"/>
    <mergeCell ref="C68:D68"/>
    <mergeCell ref="C69:D69"/>
    <mergeCell ref="C70:D70"/>
    <mergeCell ref="C58:D58"/>
    <mergeCell ref="M58:M63"/>
    <mergeCell ref="C59:D59"/>
    <mergeCell ref="C60:D60"/>
    <mergeCell ref="C61:D61"/>
    <mergeCell ref="C62:D62"/>
    <mergeCell ref="C63:D63"/>
    <mergeCell ref="C50:D50"/>
    <mergeCell ref="C51:D51"/>
    <mergeCell ref="M51:M52"/>
    <mergeCell ref="C52:D52"/>
    <mergeCell ref="C53:D53"/>
    <mergeCell ref="M53:M57"/>
    <mergeCell ref="C54:D54"/>
    <mergeCell ref="C55:D55"/>
    <mergeCell ref="C56:D56"/>
    <mergeCell ref="C57:D57"/>
    <mergeCell ref="C44:D44"/>
    <mergeCell ref="C45:D45"/>
    <mergeCell ref="C46:D46"/>
    <mergeCell ref="C47:D47"/>
    <mergeCell ref="M44:M49"/>
    <mergeCell ref="C48:D48"/>
    <mergeCell ref="C49:D49"/>
    <mergeCell ref="C33:D33"/>
    <mergeCell ref="M33:M4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M21:M25"/>
    <mergeCell ref="C26:D26"/>
    <mergeCell ref="M26:M32"/>
    <mergeCell ref="C27:D27"/>
    <mergeCell ref="C28:D28"/>
    <mergeCell ref="C29:D29"/>
    <mergeCell ref="C30:D30"/>
    <mergeCell ref="C31:D31"/>
    <mergeCell ref="C32:D32"/>
    <mergeCell ref="C21:D21"/>
    <mergeCell ref="C22:D22"/>
    <mergeCell ref="C23:D23"/>
    <mergeCell ref="C24:D24"/>
    <mergeCell ref="C25:D25"/>
    <mergeCell ref="C15:D15"/>
    <mergeCell ref="M15:M20"/>
    <mergeCell ref="C16:D16"/>
    <mergeCell ref="C17:D17"/>
    <mergeCell ref="C18:D18"/>
    <mergeCell ref="C19:D19"/>
    <mergeCell ref="C20:D20"/>
    <mergeCell ref="B12:D12"/>
    <mergeCell ref="F12:I12"/>
    <mergeCell ref="J12:L12"/>
    <mergeCell ref="C13:D13"/>
    <mergeCell ref="M13:M14"/>
    <mergeCell ref="C14:D14"/>
    <mergeCell ref="L6:L9"/>
    <mergeCell ref="M6:M11"/>
    <mergeCell ref="D7:E7"/>
    <mergeCell ref="D8:E8"/>
    <mergeCell ref="D9:E9"/>
    <mergeCell ref="D10:E10"/>
    <mergeCell ref="D11:E11"/>
    <mergeCell ref="B1:H1"/>
    <mergeCell ref="G3:K3"/>
    <mergeCell ref="B4:C4"/>
    <mergeCell ref="G4:K4"/>
    <mergeCell ref="B6:C11"/>
    <mergeCell ref="D6:E6"/>
    <mergeCell ref="J6:J9"/>
    <mergeCell ref="K6:K9"/>
  </mergeCells>
  <phoneticPr fontId="4"/>
  <pageMargins left="0.7" right="0.7" top="0.75" bottom="0.75" header="0.3" footer="0.3"/>
  <pageSetup paperSize="9" scale="7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>
    <pageSetUpPr fitToPage="1"/>
  </sheetPr>
  <dimension ref="B1:X82"/>
  <sheetViews>
    <sheetView zoomScaleNormal="100" zoomScaleSheetLayoutView="90" workbookViewId="0"/>
  </sheetViews>
  <sheetFormatPr defaultColWidth="8.875" defaultRowHeight="10.15" customHeight="1" x14ac:dyDescent="0.15"/>
  <cols>
    <col min="1" max="1" width="1.75" style="3" customWidth="1"/>
    <col min="2" max="2" width="3.125" style="3" customWidth="1"/>
    <col min="3" max="3" width="8.875" style="3" customWidth="1"/>
    <col min="4" max="4" width="14.25" style="3" customWidth="1"/>
    <col min="5" max="5" width="12.125" style="3" customWidth="1"/>
    <col min="6" max="18" width="7.5" style="3" customWidth="1"/>
    <col min="19" max="19" width="13.5" style="4" customWidth="1"/>
    <col min="20" max="20" width="3.5" style="3" customWidth="1"/>
    <col min="21" max="16384" width="8.875" style="3"/>
  </cols>
  <sheetData>
    <row r="1" spans="2:20" ht="20.100000000000001" customHeight="1" x14ac:dyDescent="0.15">
      <c r="B1" s="551" t="s">
        <v>615</v>
      </c>
      <c r="C1" s="551"/>
      <c r="D1" s="551"/>
      <c r="E1" s="551"/>
      <c r="F1" s="551"/>
      <c r="G1" s="551"/>
      <c r="H1" s="551"/>
      <c r="I1" s="551"/>
      <c r="J1" s="551"/>
      <c r="K1" s="551"/>
      <c r="L1" s="551"/>
      <c r="M1" s="551"/>
      <c r="N1" s="551"/>
      <c r="O1" s="551"/>
      <c r="P1" s="551"/>
      <c r="Q1" s="551"/>
    </row>
    <row r="2" spans="2:20" ht="12" customHeight="1" thickBot="1" x14ac:dyDescent="0.2">
      <c r="C2" s="16"/>
    </row>
    <row r="3" spans="2:20" ht="16.899999999999999" customHeight="1" thickBot="1" x14ac:dyDescent="0.2">
      <c r="B3" s="4"/>
      <c r="C3" s="10"/>
      <c r="D3" s="12"/>
      <c r="E3" s="4"/>
      <c r="F3" s="78" t="s">
        <v>7</v>
      </c>
      <c r="G3" s="552" t="s">
        <v>8</v>
      </c>
      <c r="H3" s="553"/>
      <c r="I3" s="553"/>
      <c r="J3" s="553"/>
      <c r="K3" s="553"/>
      <c r="L3" s="37"/>
      <c r="M3" s="10"/>
      <c r="N3" s="10"/>
      <c r="O3" s="4"/>
      <c r="P3" s="4"/>
      <c r="Q3" s="4"/>
      <c r="R3" s="4"/>
      <c r="T3" s="4"/>
    </row>
    <row r="4" spans="2:20" ht="16.899999999999999" customHeight="1" thickBot="1" x14ac:dyDescent="0.2">
      <c r="B4" s="620" t="s">
        <v>23</v>
      </c>
      <c r="C4" s="621"/>
      <c r="D4" s="31" t="s">
        <v>197</v>
      </c>
      <c r="E4" s="4"/>
      <c r="F4" s="79"/>
      <c r="G4" s="557" t="s">
        <v>198</v>
      </c>
      <c r="H4" s="558"/>
      <c r="I4" s="558"/>
      <c r="J4" s="558"/>
      <c r="K4" s="558"/>
      <c r="L4" s="38"/>
      <c r="M4" s="26"/>
      <c r="N4" s="26"/>
      <c r="O4" s="4"/>
      <c r="P4" s="4"/>
      <c r="Q4" s="4"/>
      <c r="R4" s="4"/>
      <c r="T4" s="4"/>
    </row>
    <row r="5" spans="2:20" ht="10.15" customHeight="1" thickBot="1" x14ac:dyDescent="0.2">
      <c r="B5" s="4"/>
      <c r="C5" s="4"/>
      <c r="D5" s="4"/>
      <c r="E5" s="4"/>
      <c r="F5" s="77"/>
      <c r="G5" s="77"/>
      <c r="H5" s="4" t="s">
        <v>206</v>
      </c>
      <c r="I5" s="4" t="s">
        <v>255</v>
      </c>
      <c r="J5" s="4" t="s">
        <v>250</v>
      </c>
      <c r="K5" s="4" t="s">
        <v>251</v>
      </c>
      <c r="L5" s="83"/>
      <c r="M5" s="77"/>
      <c r="N5" s="77"/>
      <c r="O5" s="77"/>
      <c r="P5" s="4"/>
      <c r="Q5" s="4"/>
      <c r="R5" s="4"/>
      <c r="T5" s="4"/>
    </row>
    <row r="6" spans="2:20" ht="12" customHeight="1" x14ac:dyDescent="0.15">
      <c r="B6" s="624" t="s">
        <v>124</v>
      </c>
      <c r="C6" s="625"/>
      <c r="D6" s="628" t="s">
        <v>9</v>
      </c>
      <c r="E6" s="629"/>
      <c r="F6" s="233">
        <v>45056</v>
      </c>
      <c r="G6" s="298">
        <v>45084</v>
      </c>
      <c r="H6" s="233">
        <v>45112</v>
      </c>
      <c r="I6" s="233">
        <v>45112</v>
      </c>
      <c r="J6" s="233">
        <v>45112</v>
      </c>
      <c r="K6" s="233">
        <v>45112</v>
      </c>
      <c r="L6" s="233">
        <v>45140</v>
      </c>
      <c r="M6" s="233">
        <v>45175</v>
      </c>
      <c r="N6" s="374">
        <v>45203</v>
      </c>
      <c r="O6" s="405">
        <v>45238</v>
      </c>
      <c r="P6" s="608" t="s">
        <v>0</v>
      </c>
      <c r="Q6" s="612" t="s">
        <v>1</v>
      </c>
      <c r="R6" s="617" t="s">
        <v>2</v>
      </c>
      <c r="S6" s="577" t="s">
        <v>15</v>
      </c>
      <c r="T6" s="4"/>
    </row>
    <row r="7" spans="2:20" ht="12" customHeight="1" x14ac:dyDescent="0.15">
      <c r="B7" s="626"/>
      <c r="C7" s="627"/>
      <c r="D7" s="622" t="s">
        <v>14</v>
      </c>
      <c r="E7" s="623"/>
      <c r="F7" s="169">
        <v>0.4368055555555555</v>
      </c>
      <c r="G7" s="204">
        <v>0.40416666666666662</v>
      </c>
      <c r="H7" s="169">
        <v>0.44375000000000003</v>
      </c>
      <c r="I7" s="169">
        <v>0.45555555555555555</v>
      </c>
      <c r="J7" s="169">
        <v>0.46458333333333335</v>
      </c>
      <c r="K7" s="169">
        <v>0.47500000000000003</v>
      </c>
      <c r="L7" s="169">
        <v>0.41944444444444445</v>
      </c>
      <c r="M7" s="169">
        <v>0.43472222222222223</v>
      </c>
      <c r="N7" s="375">
        <v>0.43472222222222223</v>
      </c>
      <c r="O7" s="406">
        <v>0.4291666666666667</v>
      </c>
      <c r="P7" s="609"/>
      <c r="Q7" s="613"/>
      <c r="R7" s="618"/>
      <c r="S7" s="578"/>
      <c r="T7" s="4"/>
    </row>
    <row r="8" spans="2:20" ht="12" customHeight="1" x14ac:dyDescent="0.15">
      <c r="B8" s="626"/>
      <c r="C8" s="627"/>
      <c r="D8" s="622" t="s">
        <v>10</v>
      </c>
      <c r="E8" s="623"/>
      <c r="F8" s="172" t="s">
        <v>466</v>
      </c>
      <c r="G8" s="172" t="s">
        <v>580</v>
      </c>
      <c r="H8" s="172" t="s">
        <v>302</v>
      </c>
      <c r="I8" s="172" t="s">
        <v>302</v>
      </c>
      <c r="J8" s="172" t="s">
        <v>302</v>
      </c>
      <c r="K8" s="172" t="s">
        <v>302</v>
      </c>
      <c r="L8" s="172" t="s">
        <v>580</v>
      </c>
      <c r="M8" s="172" t="s">
        <v>302</v>
      </c>
      <c r="N8" s="363" t="s">
        <v>580</v>
      </c>
      <c r="O8" s="382" t="s">
        <v>508</v>
      </c>
      <c r="P8" s="609"/>
      <c r="Q8" s="613"/>
      <c r="R8" s="618"/>
      <c r="S8" s="578"/>
      <c r="T8" s="4"/>
    </row>
    <row r="9" spans="2:20" ht="12" customHeight="1" x14ac:dyDescent="0.15">
      <c r="B9" s="626"/>
      <c r="C9" s="627"/>
      <c r="D9" s="622" t="s">
        <v>11</v>
      </c>
      <c r="E9" s="623"/>
      <c r="F9" s="172" t="s">
        <v>466</v>
      </c>
      <c r="G9" s="172" t="s">
        <v>580</v>
      </c>
      <c r="H9" s="172" t="s">
        <v>466</v>
      </c>
      <c r="I9" s="172" t="s">
        <v>531</v>
      </c>
      <c r="J9" s="172" t="s">
        <v>531</v>
      </c>
      <c r="K9" s="172" t="s">
        <v>531</v>
      </c>
      <c r="L9" s="172" t="s">
        <v>580</v>
      </c>
      <c r="M9" s="172" t="s">
        <v>525</v>
      </c>
      <c r="N9" s="363" t="s">
        <v>580</v>
      </c>
      <c r="O9" s="382" t="s">
        <v>553</v>
      </c>
      <c r="P9" s="610"/>
      <c r="Q9" s="614"/>
      <c r="R9" s="619"/>
      <c r="S9" s="578"/>
      <c r="T9" s="4"/>
    </row>
    <row r="10" spans="2:20" ht="12" customHeight="1" x14ac:dyDescent="0.15">
      <c r="B10" s="626"/>
      <c r="C10" s="627"/>
      <c r="D10" s="622" t="s">
        <v>12</v>
      </c>
      <c r="E10" s="623"/>
      <c r="F10" s="91">
        <v>20.2</v>
      </c>
      <c r="G10" s="187">
        <v>24.1</v>
      </c>
      <c r="H10" s="91">
        <v>28.9</v>
      </c>
      <c r="I10" s="91">
        <v>28.9</v>
      </c>
      <c r="J10" s="91">
        <v>28.9</v>
      </c>
      <c r="K10" s="91">
        <v>28.9</v>
      </c>
      <c r="L10" s="91">
        <v>33.299999999999997</v>
      </c>
      <c r="M10" s="91">
        <v>25.1</v>
      </c>
      <c r="N10" s="366">
        <v>24.5</v>
      </c>
      <c r="O10" s="395">
        <v>12.7</v>
      </c>
      <c r="P10" s="170">
        <f>MAX(F10:H10,L10:O10)</f>
        <v>33.299999999999997</v>
      </c>
      <c r="Q10" s="411">
        <f>MIN(F10:H10,L10:O10)</f>
        <v>12.7</v>
      </c>
      <c r="R10" s="395">
        <f>AVERAGEA(F10:H10,L10:O10)</f>
        <v>24.11428571428571</v>
      </c>
      <c r="S10" s="578"/>
      <c r="T10" s="4"/>
    </row>
    <row r="11" spans="2:20" ht="12" customHeight="1" thickBot="1" x14ac:dyDescent="0.2">
      <c r="B11" s="626"/>
      <c r="C11" s="627"/>
      <c r="D11" s="622" t="s">
        <v>13</v>
      </c>
      <c r="E11" s="623"/>
      <c r="F11" s="91">
        <v>13</v>
      </c>
      <c r="G11" s="187">
        <v>17.399999999999999</v>
      </c>
      <c r="H11" s="91">
        <v>26.4</v>
      </c>
      <c r="I11" s="91">
        <v>13.2</v>
      </c>
      <c r="J11" s="91">
        <v>11.3</v>
      </c>
      <c r="K11" s="91">
        <v>12</v>
      </c>
      <c r="L11" s="91">
        <v>24.6</v>
      </c>
      <c r="M11" s="91">
        <v>26.4</v>
      </c>
      <c r="N11" s="366">
        <v>19.7</v>
      </c>
      <c r="O11" s="395">
        <v>13.6</v>
      </c>
      <c r="P11" s="170">
        <f>MAX(F11:H11,L11:O11)</f>
        <v>26.4</v>
      </c>
      <c r="Q11" s="411">
        <f>MIN(F11:H11,L11:O11)</f>
        <v>13</v>
      </c>
      <c r="R11" s="395">
        <f>AVERAGEA(F11:H11,L11:O11)</f>
        <v>20.157142857142862</v>
      </c>
      <c r="S11" s="578"/>
      <c r="T11" s="4"/>
    </row>
    <row r="12" spans="2:20" ht="15" customHeight="1" x14ac:dyDescent="0.15">
      <c r="B12" s="584" t="s">
        <v>125</v>
      </c>
      <c r="C12" s="585"/>
      <c r="D12" s="585"/>
      <c r="E12" s="32" t="s">
        <v>64</v>
      </c>
      <c r="F12" s="587" t="s">
        <v>3</v>
      </c>
      <c r="G12" s="585"/>
      <c r="H12" s="615"/>
      <c r="I12" s="615"/>
      <c r="J12" s="615"/>
      <c r="K12" s="615"/>
      <c r="L12" s="615"/>
      <c r="M12" s="615"/>
      <c r="N12" s="615"/>
      <c r="O12" s="616"/>
      <c r="P12" s="587"/>
      <c r="Q12" s="585"/>
      <c r="R12" s="588"/>
      <c r="S12" s="29"/>
      <c r="T12" s="4"/>
    </row>
    <row r="13" spans="2:20" ht="12" customHeight="1" x14ac:dyDescent="0.15">
      <c r="B13" s="19">
        <v>1</v>
      </c>
      <c r="C13" s="592" t="s">
        <v>24</v>
      </c>
      <c r="D13" s="593"/>
      <c r="E13" s="11" t="s">
        <v>105</v>
      </c>
      <c r="F13" s="171">
        <v>96</v>
      </c>
      <c r="G13" s="186">
        <v>150</v>
      </c>
      <c r="H13" s="234">
        <v>220</v>
      </c>
      <c r="I13" s="234">
        <v>53</v>
      </c>
      <c r="J13" s="234">
        <v>210</v>
      </c>
      <c r="K13" s="234">
        <v>44</v>
      </c>
      <c r="L13" s="234">
        <v>64</v>
      </c>
      <c r="M13" s="234">
        <v>420</v>
      </c>
      <c r="N13" s="234">
        <v>470</v>
      </c>
      <c r="O13" s="392">
        <v>130</v>
      </c>
      <c r="P13" s="308">
        <f>IF(MAX(F13:H13,L13:O13)=0,0,MAX(F13:H13,L13:O13))</f>
        <v>470</v>
      </c>
      <c r="Q13" s="358">
        <f>IF(MIN(F13:H13,L13:O13)=0,0,MIN(F13:H13,L13:O13))</f>
        <v>64</v>
      </c>
      <c r="R13" s="418">
        <f>IF(AVERAGEA(F13:H13,L13:O13)=0,0,AVERAGEA(F13:H13,L13:O13))</f>
        <v>221.42857142857142</v>
      </c>
      <c r="S13" s="594" t="s">
        <v>59</v>
      </c>
      <c r="T13" s="2"/>
    </row>
    <row r="14" spans="2:20" ht="12" customHeight="1" x14ac:dyDescent="0.15">
      <c r="B14" s="19">
        <f>B13+1</f>
        <v>2</v>
      </c>
      <c r="C14" s="592" t="s">
        <v>25</v>
      </c>
      <c r="D14" s="593"/>
      <c r="E14" s="15" t="s">
        <v>114</v>
      </c>
      <c r="F14" s="184" t="s">
        <v>511</v>
      </c>
      <c r="G14" s="172" t="s">
        <v>303</v>
      </c>
      <c r="H14" s="172" t="s">
        <v>303</v>
      </c>
      <c r="I14" s="185" t="s">
        <v>533</v>
      </c>
      <c r="J14" s="185" t="s">
        <v>303</v>
      </c>
      <c r="K14" s="185" t="s">
        <v>535</v>
      </c>
      <c r="L14" s="185" t="s">
        <v>511</v>
      </c>
      <c r="M14" s="185" t="s">
        <v>511</v>
      </c>
      <c r="N14" s="370" t="s">
        <v>511</v>
      </c>
      <c r="O14" s="382" t="s">
        <v>597</v>
      </c>
      <c r="P14" s="413"/>
      <c r="Q14" s="408"/>
      <c r="R14" s="409"/>
      <c r="S14" s="578"/>
      <c r="T14" s="2"/>
    </row>
    <row r="15" spans="2:20" ht="12" customHeight="1" x14ac:dyDescent="0.15">
      <c r="B15" s="19">
        <f t="shared" ref="B15:B63" si="0">B14+1</f>
        <v>3</v>
      </c>
      <c r="C15" s="592" t="s">
        <v>26</v>
      </c>
      <c r="D15" s="593"/>
      <c r="E15" s="11" t="s">
        <v>209</v>
      </c>
      <c r="F15" s="173"/>
      <c r="G15" s="239"/>
      <c r="H15" s="179"/>
      <c r="I15" s="179"/>
      <c r="J15" s="179"/>
      <c r="K15" s="179"/>
      <c r="L15" s="179"/>
      <c r="M15" s="179"/>
      <c r="N15" s="265"/>
      <c r="O15" s="393"/>
      <c r="P15" s="239"/>
      <c r="Q15" s="179"/>
      <c r="R15" s="393"/>
      <c r="S15" s="595" t="s">
        <v>60</v>
      </c>
      <c r="T15" s="2"/>
    </row>
    <row r="16" spans="2:20" ht="12" customHeight="1" x14ac:dyDescent="0.15">
      <c r="B16" s="19">
        <f t="shared" si="0"/>
        <v>4</v>
      </c>
      <c r="C16" s="592" t="s">
        <v>27</v>
      </c>
      <c r="D16" s="593"/>
      <c r="E16" s="11" t="s">
        <v>106</v>
      </c>
      <c r="F16" s="174"/>
      <c r="G16" s="276"/>
      <c r="H16" s="235"/>
      <c r="I16" s="235"/>
      <c r="J16" s="235"/>
      <c r="K16" s="235"/>
      <c r="L16" s="235"/>
      <c r="M16" s="235"/>
      <c r="N16" s="266"/>
      <c r="O16" s="394"/>
      <c r="P16" s="276"/>
      <c r="Q16" s="235"/>
      <c r="R16" s="394"/>
      <c r="S16" s="595"/>
      <c r="T16" s="2"/>
    </row>
    <row r="17" spans="2:24" ht="12" customHeight="1" x14ac:dyDescent="0.15">
      <c r="B17" s="19">
        <f t="shared" si="0"/>
        <v>5</v>
      </c>
      <c r="C17" s="592" t="s">
        <v>28</v>
      </c>
      <c r="D17" s="593"/>
      <c r="E17" s="11" t="s">
        <v>93</v>
      </c>
      <c r="F17" s="173"/>
      <c r="G17" s="239"/>
      <c r="H17" s="179"/>
      <c r="I17" s="179"/>
      <c r="J17" s="179"/>
      <c r="K17" s="179"/>
      <c r="L17" s="179"/>
      <c r="M17" s="179"/>
      <c r="N17" s="265"/>
      <c r="O17" s="393"/>
      <c r="P17" s="239"/>
      <c r="Q17" s="179"/>
      <c r="R17" s="393"/>
      <c r="S17" s="595"/>
      <c r="T17" s="2"/>
    </row>
    <row r="18" spans="2:24" ht="12" customHeight="1" x14ac:dyDescent="0.15">
      <c r="B18" s="19">
        <f t="shared" si="0"/>
        <v>6</v>
      </c>
      <c r="C18" s="592" t="s">
        <v>29</v>
      </c>
      <c r="D18" s="593"/>
      <c r="E18" s="11" t="s">
        <v>93</v>
      </c>
      <c r="F18" s="173"/>
      <c r="G18" s="239"/>
      <c r="H18" s="179"/>
      <c r="I18" s="179"/>
      <c r="J18" s="179"/>
      <c r="K18" s="179"/>
      <c r="L18" s="179"/>
      <c r="M18" s="179"/>
      <c r="N18" s="265"/>
      <c r="O18" s="393"/>
      <c r="P18" s="239"/>
      <c r="Q18" s="179"/>
      <c r="R18" s="393"/>
      <c r="S18" s="595"/>
      <c r="T18" s="2"/>
    </row>
    <row r="19" spans="2:24" ht="12" customHeight="1" x14ac:dyDescent="0.15">
      <c r="B19" s="19">
        <f t="shared" si="0"/>
        <v>7</v>
      </c>
      <c r="C19" s="592" t="s">
        <v>30</v>
      </c>
      <c r="D19" s="593"/>
      <c r="E19" s="11" t="s">
        <v>93</v>
      </c>
      <c r="F19" s="173"/>
      <c r="G19" s="239"/>
      <c r="H19" s="179"/>
      <c r="I19" s="179"/>
      <c r="J19" s="179"/>
      <c r="K19" s="179"/>
      <c r="L19" s="179"/>
      <c r="M19" s="179"/>
      <c r="N19" s="265"/>
      <c r="O19" s="393"/>
      <c r="P19" s="239"/>
      <c r="Q19" s="179"/>
      <c r="R19" s="393"/>
      <c r="S19" s="595"/>
      <c r="T19" s="2"/>
    </row>
    <row r="20" spans="2:24" ht="12" customHeight="1" x14ac:dyDescent="0.15">
      <c r="B20" s="19">
        <f t="shared" si="0"/>
        <v>8</v>
      </c>
      <c r="C20" s="592" t="s">
        <v>31</v>
      </c>
      <c r="D20" s="593"/>
      <c r="E20" s="11" t="s">
        <v>107</v>
      </c>
      <c r="F20" s="173"/>
      <c r="G20" s="239"/>
      <c r="H20" s="179"/>
      <c r="I20" s="179"/>
      <c r="J20" s="179"/>
      <c r="K20" s="179"/>
      <c r="L20" s="179"/>
      <c r="M20" s="179"/>
      <c r="N20" s="265"/>
      <c r="O20" s="393"/>
      <c r="P20" s="239"/>
      <c r="Q20" s="179"/>
      <c r="R20" s="393"/>
      <c r="S20" s="595"/>
      <c r="T20" s="2"/>
    </row>
    <row r="21" spans="2:24" ht="12" customHeight="1" x14ac:dyDescent="0.15">
      <c r="B21" s="19">
        <f t="shared" si="0"/>
        <v>9</v>
      </c>
      <c r="C21" s="592" t="s">
        <v>210</v>
      </c>
      <c r="D21" s="611"/>
      <c r="E21" s="11" t="s">
        <v>269</v>
      </c>
      <c r="F21" s="173"/>
      <c r="G21" s="239"/>
      <c r="H21" s="179"/>
      <c r="I21" s="179"/>
      <c r="J21" s="179"/>
      <c r="K21" s="179"/>
      <c r="L21" s="179"/>
      <c r="M21" s="179"/>
      <c r="N21" s="265"/>
      <c r="O21" s="393"/>
      <c r="P21" s="239"/>
      <c r="Q21" s="179"/>
      <c r="R21" s="393"/>
      <c r="S21" s="594" t="s">
        <v>498</v>
      </c>
      <c r="T21" s="2"/>
    </row>
    <row r="22" spans="2:24" ht="12" customHeight="1" x14ac:dyDescent="0.15">
      <c r="B22" s="19">
        <f t="shared" si="0"/>
        <v>10</v>
      </c>
      <c r="C22" s="592" t="s">
        <v>32</v>
      </c>
      <c r="D22" s="593"/>
      <c r="E22" s="11" t="s">
        <v>93</v>
      </c>
      <c r="F22" s="173"/>
      <c r="G22" s="239"/>
      <c r="H22" s="179"/>
      <c r="I22" s="179"/>
      <c r="J22" s="179"/>
      <c r="K22" s="179"/>
      <c r="L22" s="179"/>
      <c r="M22" s="179"/>
      <c r="N22" s="265"/>
      <c r="O22" s="393"/>
      <c r="P22" s="239"/>
      <c r="Q22" s="179"/>
      <c r="R22" s="393"/>
      <c r="S22" s="578"/>
      <c r="T22" s="2"/>
    </row>
    <row r="23" spans="2:24" ht="12" customHeight="1" x14ac:dyDescent="0.15">
      <c r="B23" s="19">
        <f t="shared" si="0"/>
        <v>11</v>
      </c>
      <c r="C23" s="592" t="s">
        <v>33</v>
      </c>
      <c r="D23" s="593"/>
      <c r="E23" s="11" t="s">
        <v>108</v>
      </c>
      <c r="F23" s="187">
        <v>0.1</v>
      </c>
      <c r="G23" s="187" t="s">
        <v>310</v>
      </c>
      <c r="H23" s="187">
        <v>0.1</v>
      </c>
      <c r="I23" s="91">
        <v>0.2</v>
      </c>
      <c r="J23" s="91">
        <v>0.2</v>
      </c>
      <c r="K23" s="91">
        <v>0.2</v>
      </c>
      <c r="L23" s="187" t="s">
        <v>310</v>
      </c>
      <c r="M23" s="187" t="s">
        <v>310</v>
      </c>
      <c r="N23" s="367">
        <v>0.4</v>
      </c>
      <c r="O23" s="383">
        <v>0.2</v>
      </c>
      <c r="P23" s="170">
        <f>IF(MAXA(F23:H23,L23:O23)&lt;0.1,"&lt;0.1",MAXA(F23:H23,L23:O23))</f>
        <v>0.4</v>
      </c>
      <c r="Q23" s="91" t="str">
        <f>IF(MINA(F23:H23,L23:O23)&lt;0.1,"&lt;0.1",MINA(F23:H23,L23:O23))</f>
        <v>&lt;0.1</v>
      </c>
      <c r="R23" s="395">
        <f>IF(AVERAGEA(F23:H23,L23:O23)&lt;0.1,"&lt;0.1",AVERAGEA(F23:H23,L23:O23))</f>
        <v>0.1142857142857143</v>
      </c>
      <c r="S23" s="578"/>
      <c r="T23" s="2"/>
      <c r="X23" s="476"/>
    </row>
    <row r="24" spans="2:24" ht="12" customHeight="1" x14ac:dyDescent="0.15">
      <c r="B24" s="19">
        <f t="shared" si="0"/>
        <v>12</v>
      </c>
      <c r="C24" s="592" t="s">
        <v>34</v>
      </c>
      <c r="D24" s="593"/>
      <c r="E24" s="11" t="s">
        <v>109</v>
      </c>
      <c r="F24" s="177"/>
      <c r="G24" s="277"/>
      <c r="H24" s="178"/>
      <c r="I24" s="178"/>
      <c r="J24" s="178"/>
      <c r="K24" s="178"/>
      <c r="L24" s="178"/>
      <c r="M24" s="178"/>
      <c r="N24" s="268"/>
      <c r="O24" s="396"/>
      <c r="P24" s="178"/>
      <c r="Q24" s="178"/>
      <c r="R24" s="396"/>
      <c r="S24" s="578"/>
      <c r="T24" s="2"/>
    </row>
    <row r="25" spans="2:24" ht="12" customHeight="1" x14ac:dyDescent="0.15">
      <c r="B25" s="19">
        <f t="shared" si="0"/>
        <v>13</v>
      </c>
      <c r="C25" s="592" t="s">
        <v>35</v>
      </c>
      <c r="D25" s="593"/>
      <c r="E25" s="11" t="s">
        <v>110</v>
      </c>
      <c r="F25" s="170"/>
      <c r="G25" s="187"/>
      <c r="H25" s="91"/>
      <c r="I25" s="91"/>
      <c r="J25" s="91"/>
      <c r="K25" s="91"/>
      <c r="L25" s="91"/>
      <c r="M25" s="91"/>
      <c r="N25" s="366"/>
      <c r="O25" s="395"/>
      <c r="P25" s="91"/>
      <c r="Q25" s="91"/>
      <c r="R25" s="395"/>
      <c r="S25" s="596"/>
      <c r="T25" s="2"/>
    </row>
    <row r="26" spans="2:24" ht="12" customHeight="1" x14ac:dyDescent="0.15">
      <c r="B26" s="19">
        <f t="shared" si="0"/>
        <v>14</v>
      </c>
      <c r="C26" s="592" t="s">
        <v>36</v>
      </c>
      <c r="D26" s="593"/>
      <c r="E26" s="11" t="s">
        <v>111</v>
      </c>
      <c r="F26" s="176"/>
      <c r="G26" s="278"/>
      <c r="H26" s="237"/>
      <c r="I26" s="237"/>
      <c r="J26" s="237"/>
      <c r="K26" s="237"/>
      <c r="L26" s="237"/>
      <c r="M26" s="237"/>
      <c r="N26" s="270"/>
      <c r="O26" s="397"/>
      <c r="P26" s="237"/>
      <c r="Q26" s="237"/>
      <c r="R26" s="397"/>
      <c r="S26" s="595" t="s">
        <v>62</v>
      </c>
      <c r="T26" s="2"/>
    </row>
    <row r="27" spans="2:24" ht="12" customHeight="1" x14ac:dyDescent="0.15">
      <c r="B27" s="19">
        <f t="shared" si="0"/>
        <v>15</v>
      </c>
      <c r="C27" s="592" t="s">
        <v>175</v>
      </c>
      <c r="D27" s="593"/>
      <c r="E27" s="11" t="s">
        <v>107</v>
      </c>
      <c r="F27" s="173"/>
      <c r="G27" s="239"/>
      <c r="H27" s="179"/>
      <c r="I27" s="179"/>
      <c r="J27" s="179"/>
      <c r="K27" s="179"/>
      <c r="L27" s="179"/>
      <c r="M27" s="179"/>
      <c r="N27" s="265"/>
      <c r="O27" s="393"/>
      <c r="P27" s="239"/>
      <c r="Q27" s="179"/>
      <c r="R27" s="393"/>
      <c r="S27" s="595"/>
      <c r="T27" s="2"/>
    </row>
    <row r="28" spans="2:24" ht="24" customHeight="1" x14ac:dyDescent="0.15">
      <c r="B28" s="19">
        <f>B27+1</f>
        <v>16</v>
      </c>
      <c r="C28" s="597" t="s">
        <v>256</v>
      </c>
      <c r="D28" s="593"/>
      <c r="E28" s="11" t="s">
        <v>88</v>
      </c>
      <c r="F28" s="173"/>
      <c r="G28" s="239"/>
      <c r="H28" s="179"/>
      <c r="I28" s="179"/>
      <c r="J28" s="179"/>
      <c r="K28" s="179"/>
      <c r="L28" s="179"/>
      <c r="M28" s="179"/>
      <c r="N28" s="265"/>
      <c r="O28" s="393"/>
      <c r="P28" s="179"/>
      <c r="Q28" s="179"/>
      <c r="R28" s="393"/>
      <c r="S28" s="595"/>
      <c r="T28" s="2"/>
    </row>
    <row r="29" spans="2:24" ht="12" customHeight="1" x14ac:dyDescent="0.15">
      <c r="B29" s="19">
        <f t="shared" si="0"/>
        <v>17</v>
      </c>
      <c r="C29" s="592" t="s">
        <v>176</v>
      </c>
      <c r="D29" s="593"/>
      <c r="E29" s="11" t="s">
        <v>96</v>
      </c>
      <c r="F29" s="173"/>
      <c r="G29" s="239"/>
      <c r="H29" s="179"/>
      <c r="I29" s="179"/>
      <c r="J29" s="179"/>
      <c r="K29" s="179"/>
      <c r="L29" s="179"/>
      <c r="M29" s="179"/>
      <c r="N29" s="265"/>
      <c r="O29" s="393"/>
      <c r="P29" s="179"/>
      <c r="Q29" s="179"/>
      <c r="R29" s="393"/>
      <c r="S29" s="595"/>
      <c r="T29" s="2"/>
    </row>
    <row r="30" spans="2:24" ht="12" customHeight="1" x14ac:dyDescent="0.15">
      <c r="B30" s="19">
        <f t="shared" si="0"/>
        <v>18</v>
      </c>
      <c r="C30" s="592" t="s">
        <v>177</v>
      </c>
      <c r="D30" s="593"/>
      <c r="E30" s="11" t="s">
        <v>93</v>
      </c>
      <c r="F30" s="173"/>
      <c r="G30" s="239"/>
      <c r="H30" s="179"/>
      <c r="I30" s="179"/>
      <c r="J30" s="179"/>
      <c r="K30" s="179"/>
      <c r="L30" s="179"/>
      <c r="M30" s="179"/>
      <c r="N30" s="265"/>
      <c r="O30" s="393"/>
      <c r="P30" s="179"/>
      <c r="Q30" s="179"/>
      <c r="R30" s="393"/>
      <c r="S30" s="595"/>
      <c r="T30" s="2"/>
    </row>
    <row r="31" spans="2:24" ht="12" customHeight="1" x14ac:dyDescent="0.15">
      <c r="B31" s="19">
        <f t="shared" si="0"/>
        <v>19</v>
      </c>
      <c r="C31" s="592" t="s">
        <v>178</v>
      </c>
      <c r="D31" s="593"/>
      <c r="E31" s="11" t="s">
        <v>93</v>
      </c>
      <c r="F31" s="173"/>
      <c r="G31" s="239"/>
      <c r="H31" s="179"/>
      <c r="I31" s="179"/>
      <c r="J31" s="179"/>
      <c r="K31" s="179"/>
      <c r="L31" s="179"/>
      <c r="M31" s="179"/>
      <c r="N31" s="265"/>
      <c r="O31" s="393"/>
      <c r="P31" s="179"/>
      <c r="Q31" s="179"/>
      <c r="R31" s="393"/>
      <c r="S31" s="595"/>
      <c r="T31" s="2"/>
    </row>
    <row r="32" spans="2:24" ht="12" customHeight="1" x14ac:dyDescent="0.15">
      <c r="B32" s="19">
        <f t="shared" si="0"/>
        <v>20</v>
      </c>
      <c r="C32" s="592" t="s">
        <v>179</v>
      </c>
      <c r="D32" s="593"/>
      <c r="E32" s="11" t="s">
        <v>93</v>
      </c>
      <c r="F32" s="173"/>
      <c r="G32" s="239"/>
      <c r="H32" s="179"/>
      <c r="I32" s="179"/>
      <c r="J32" s="179"/>
      <c r="K32" s="179"/>
      <c r="L32" s="179"/>
      <c r="M32" s="179"/>
      <c r="N32" s="265"/>
      <c r="O32" s="393"/>
      <c r="P32" s="179"/>
      <c r="Q32" s="179"/>
      <c r="R32" s="393"/>
      <c r="S32" s="595"/>
      <c r="T32" s="2"/>
    </row>
    <row r="33" spans="2:20" ht="12" customHeight="1" x14ac:dyDescent="0.15">
      <c r="B33" s="19">
        <f t="shared" si="0"/>
        <v>21</v>
      </c>
      <c r="C33" s="592" t="s">
        <v>252</v>
      </c>
      <c r="D33" s="593"/>
      <c r="E33" s="11" t="s">
        <v>91</v>
      </c>
      <c r="F33" s="173"/>
      <c r="G33" s="239"/>
      <c r="H33" s="179"/>
      <c r="I33" s="179"/>
      <c r="J33" s="179"/>
      <c r="K33" s="179"/>
      <c r="L33" s="179"/>
      <c r="M33" s="179"/>
      <c r="N33" s="265"/>
      <c r="O33" s="393"/>
      <c r="P33" s="239"/>
      <c r="Q33" s="179"/>
      <c r="R33" s="393"/>
      <c r="S33" s="594" t="s">
        <v>61</v>
      </c>
      <c r="T33" s="2"/>
    </row>
    <row r="34" spans="2:20" ht="12" customHeight="1" x14ac:dyDescent="0.15">
      <c r="B34" s="19">
        <f t="shared" si="0"/>
        <v>22</v>
      </c>
      <c r="C34" s="592" t="s">
        <v>37</v>
      </c>
      <c r="D34" s="593"/>
      <c r="E34" s="11" t="s">
        <v>96</v>
      </c>
      <c r="F34" s="173"/>
      <c r="G34" s="239"/>
      <c r="H34" s="179"/>
      <c r="I34" s="179"/>
      <c r="J34" s="179"/>
      <c r="K34" s="179"/>
      <c r="L34" s="179"/>
      <c r="M34" s="179"/>
      <c r="N34" s="265"/>
      <c r="O34" s="393"/>
      <c r="P34" s="239"/>
      <c r="Q34" s="179"/>
      <c r="R34" s="393"/>
      <c r="S34" s="578"/>
      <c r="T34" s="2"/>
    </row>
    <row r="35" spans="2:20" ht="12" customHeight="1" x14ac:dyDescent="0.15">
      <c r="B35" s="19">
        <f t="shared" si="0"/>
        <v>23</v>
      </c>
      <c r="C35" s="592" t="s">
        <v>171</v>
      </c>
      <c r="D35" s="593"/>
      <c r="E35" s="11" t="s">
        <v>113</v>
      </c>
      <c r="F35" s="173"/>
      <c r="G35" s="239"/>
      <c r="H35" s="179"/>
      <c r="I35" s="179"/>
      <c r="J35" s="179"/>
      <c r="K35" s="179"/>
      <c r="L35" s="179"/>
      <c r="M35" s="179"/>
      <c r="N35" s="265"/>
      <c r="O35" s="393"/>
      <c r="P35" s="239"/>
      <c r="Q35" s="179"/>
      <c r="R35" s="393"/>
      <c r="S35" s="578"/>
      <c r="T35" s="2"/>
    </row>
    <row r="36" spans="2:20" ht="12" customHeight="1" x14ac:dyDescent="0.15">
      <c r="B36" s="19">
        <f t="shared" si="0"/>
        <v>24</v>
      </c>
      <c r="C36" s="592" t="s">
        <v>38</v>
      </c>
      <c r="D36" s="593"/>
      <c r="E36" s="11" t="s">
        <v>112</v>
      </c>
      <c r="F36" s="173"/>
      <c r="G36" s="239"/>
      <c r="H36" s="179"/>
      <c r="I36" s="179"/>
      <c r="J36" s="179"/>
      <c r="K36" s="179"/>
      <c r="L36" s="179"/>
      <c r="M36" s="179"/>
      <c r="N36" s="265"/>
      <c r="O36" s="393"/>
      <c r="P36" s="239"/>
      <c r="Q36" s="179"/>
      <c r="R36" s="393"/>
      <c r="S36" s="578"/>
      <c r="T36" s="2"/>
    </row>
    <row r="37" spans="2:20" ht="12" customHeight="1" x14ac:dyDescent="0.15">
      <c r="B37" s="19">
        <f t="shared" si="0"/>
        <v>25</v>
      </c>
      <c r="C37" s="592" t="s">
        <v>180</v>
      </c>
      <c r="D37" s="593"/>
      <c r="E37" s="11" t="s">
        <v>90</v>
      </c>
      <c r="F37" s="173"/>
      <c r="G37" s="239"/>
      <c r="H37" s="179"/>
      <c r="I37" s="179"/>
      <c r="J37" s="179"/>
      <c r="K37" s="179"/>
      <c r="L37" s="179"/>
      <c r="M37" s="179"/>
      <c r="N37" s="265"/>
      <c r="O37" s="393"/>
      <c r="P37" s="179"/>
      <c r="Q37" s="179"/>
      <c r="R37" s="393"/>
      <c r="S37" s="578"/>
      <c r="T37" s="2"/>
    </row>
    <row r="38" spans="2:20" ht="12" customHeight="1" x14ac:dyDescent="0.15">
      <c r="B38" s="19">
        <f t="shared" si="0"/>
        <v>26</v>
      </c>
      <c r="C38" s="592" t="s">
        <v>39</v>
      </c>
      <c r="D38" s="593"/>
      <c r="E38" s="11" t="s">
        <v>93</v>
      </c>
      <c r="F38" s="173"/>
      <c r="G38" s="239"/>
      <c r="H38" s="179"/>
      <c r="I38" s="179"/>
      <c r="J38" s="179"/>
      <c r="K38" s="179"/>
      <c r="L38" s="179"/>
      <c r="M38" s="179"/>
      <c r="N38" s="265"/>
      <c r="O38" s="393"/>
      <c r="P38" s="239"/>
      <c r="Q38" s="179"/>
      <c r="R38" s="393"/>
      <c r="S38" s="578"/>
      <c r="T38" s="2"/>
    </row>
    <row r="39" spans="2:20" ht="12" customHeight="1" x14ac:dyDescent="0.15">
      <c r="B39" s="19">
        <f t="shared" si="0"/>
        <v>27</v>
      </c>
      <c r="C39" s="592" t="s">
        <v>40</v>
      </c>
      <c r="D39" s="593"/>
      <c r="E39" s="11" t="s">
        <v>90</v>
      </c>
      <c r="F39" s="173"/>
      <c r="G39" s="239"/>
      <c r="H39" s="179"/>
      <c r="I39" s="179"/>
      <c r="J39" s="179"/>
      <c r="K39" s="335"/>
      <c r="L39" s="179"/>
      <c r="M39" s="179"/>
      <c r="N39" s="265"/>
      <c r="O39" s="393"/>
      <c r="P39" s="239"/>
      <c r="Q39" s="179"/>
      <c r="R39" s="393"/>
      <c r="S39" s="578"/>
      <c r="T39" s="2"/>
    </row>
    <row r="40" spans="2:20" ht="12" customHeight="1" x14ac:dyDescent="0.15">
      <c r="B40" s="19">
        <f t="shared" si="0"/>
        <v>28</v>
      </c>
      <c r="C40" s="592" t="s">
        <v>41</v>
      </c>
      <c r="D40" s="593"/>
      <c r="E40" s="11" t="s">
        <v>112</v>
      </c>
      <c r="F40" s="177"/>
      <c r="G40" s="277"/>
      <c r="H40" s="178"/>
      <c r="I40" s="178"/>
      <c r="J40" s="178"/>
      <c r="K40" s="336"/>
      <c r="L40" s="178"/>
      <c r="M40" s="178"/>
      <c r="N40" s="268"/>
      <c r="O40" s="396"/>
      <c r="P40" s="178"/>
      <c r="Q40" s="178"/>
      <c r="R40" s="396"/>
      <c r="S40" s="578"/>
      <c r="T40" s="2"/>
    </row>
    <row r="41" spans="2:20" ht="12" customHeight="1" x14ac:dyDescent="0.15">
      <c r="B41" s="19">
        <f t="shared" si="0"/>
        <v>29</v>
      </c>
      <c r="C41" s="592" t="s">
        <v>181</v>
      </c>
      <c r="D41" s="593"/>
      <c r="E41" s="11" t="s">
        <v>112</v>
      </c>
      <c r="F41" s="173"/>
      <c r="G41" s="239"/>
      <c r="H41" s="179"/>
      <c r="I41" s="179"/>
      <c r="J41" s="179"/>
      <c r="K41" s="335"/>
      <c r="L41" s="179"/>
      <c r="M41" s="179"/>
      <c r="N41" s="265"/>
      <c r="O41" s="393"/>
      <c r="P41" s="239"/>
      <c r="Q41" s="179"/>
      <c r="R41" s="393"/>
      <c r="S41" s="578"/>
      <c r="T41" s="2"/>
    </row>
    <row r="42" spans="2:20" ht="12" customHeight="1" x14ac:dyDescent="0.15">
      <c r="B42" s="19">
        <f t="shared" si="0"/>
        <v>30</v>
      </c>
      <c r="C42" s="592" t="s">
        <v>182</v>
      </c>
      <c r="D42" s="593"/>
      <c r="E42" s="11" t="s">
        <v>115</v>
      </c>
      <c r="F42" s="173"/>
      <c r="G42" s="239"/>
      <c r="H42" s="179"/>
      <c r="I42" s="179"/>
      <c r="J42" s="179"/>
      <c r="K42" s="335"/>
      <c r="L42" s="179"/>
      <c r="M42" s="179"/>
      <c r="N42" s="265"/>
      <c r="O42" s="393"/>
      <c r="P42" s="239"/>
      <c r="Q42" s="179"/>
      <c r="R42" s="393"/>
      <c r="S42" s="578"/>
      <c r="T42" s="2"/>
    </row>
    <row r="43" spans="2:20" ht="12" customHeight="1" x14ac:dyDescent="0.15">
      <c r="B43" s="19">
        <f t="shared" si="0"/>
        <v>31</v>
      </c>
      <c r="C43" s="592" t="s">
        <v>183</v>
      </c>
      <c r="D43" s="593"/>
      <c r="E43" s="11" t="s">
        <v>116</v>
      </c>
      <c r="F43" s="173"/>
      <c r="G43" s="239"/>
      <c r="H43" s="179"/>
      <c r="I43" s="179"/>
      <c r="J43" s="179"/>
      <c r="K43" s="335"/>
      <c r="L43" s="179"/>
      <c r="M43" s="179"/>
      <c r="N43" s="265"/>
      <c r="O43" s="393"/>
      <c r="P43" s="239"/>
      <c r="Q43" s="179"/>
      <c r="R43" s="393"/>
      <c r="S43" s="596"/>
      <c r="T43" s="2"/>
    </row>
    <row r="44" spans="2:20" ht="12" customHeight="1" x14ac:dyDescent="0.15">
      <c r="B44" s="19">
        <f t="shared" si="0"/>
        <v>32</v>
      </c>
      <c r="C44" s="592" t="s">
        <v>42</v>
      </c>
      <c r="D44" s="593"/>
      <c r="E44" s="11" t="s">
        <v>110</v>
      </c>
      <c r="F44" s="177"/>
      <c r="G44" s="277"/>
      <c r="H44" s="178"/>
      <c r="I44" s="178"/>
      <c r="J44" s="178"/>
      <c r="K44" s="336"/>
      <c r="L44" s="178"/>
      <c r="M44" s="178"/>
      <c r="N44" s="268"/>
      <c r="O44" s="396"/>
      <c r="P44" s="178"/>
      <c r="Q44" s="178"/>
      <c r="R44" s="396"/>
      <c r="S44" s="594" t="s">
        <v>60</v>
      </c>
      <c r="T44" s="2"/>
    </row>
    <row r="45" spans="2:20" ht="12" customHeight="1" x14ac:dyDescent="0.15">
      <c r="B45" s="19">
        <f t="shared" si="0"/>
        <v>33</v>
      </c>
      <c r="C45" s="592" t="s">
        <v>43</v>
      </c>
      <c r="D45" s="593"/>
      <c r="E45" s="11" t="s">
        <v>89</v>
      </c>
      <c r="F45" s="177"/>
      <c r="G45" s="277"/>
      <c r="H45" s="178"/>
      <c r="I45" s="178"/>
      <c r="J45" s="178"/>
      <c r="K45" s="336"/>
      <c r="L45" s="178"/>
      <c r="M45" s="178"/>
      <c r="N45" s="268"/>
      <c r="O45" s="396"/>
      <c r="P45" s="178"/>
      <c r="Q45" s="178"/>
      <c r="R45" s="396"/>
      <c r="S45" s="578"/>
      <c r="T45" s="2"/>
    </row>
    <row r="46" spans="2:20" ht="12" customHeight="1" x14ac:dyDescent="0.15">
      <c r="B46" s="19">
        <f t="shared" si="0"/>
        <v>34</v>
      </c>
      <c r="C46" s="592" t="s">
        <v>44</v>
      </c>
      <c r="D46" s="593"/>
      <c r="E46" s="11" t="s">
        <v>95</v>
      </c>
      <c r="F46" s="436">
        <v>1.3</v>
      </c>
      <c r="G46" s="437">
        <v>0.1</v>
      </c>
      <c r="H46" s="437">
        <v>0.18</v>
      </c>
      <c r="I46" s="438">
        <v>0.23</v>
      </c>
      <c r="J46" s="438">
        <v>0.18</v>
      </c>
      <c r="K46" s="438">
        <v>0.21</v>
      </c>
      <c r="L46" s="438">
        <v>0.05</v>
      </c>
      <c r="M46" s="438">
        <v>0.49</v>
      </c>
      <c r="N46" s="439">
        <v>0.56000000000000005</v>
      </c>
      <c r="O46" s="435">
        <v>0.2</v>
      </c>
      <c r="P46" s="417">
        <f>IF(MAXA(F46:H46,L46:O46)&lt;0.001,"&lt;0.001",MAXA(F46:H46,L46:O46))</f>
        <v>1.3</v>
      </c>
      <c r="Q46" s="178">
        <f>IF(MINA(F46:H46,L46:O46)&lt;0.001,"&lt;0.001",MINA(F46:H46,L46:O46))</f>
        <v>0.05</v>
      </c>
      <c r="R46" s="396">
        <f>IF(AVERAGEA(F46:H46,L46:O46)&lt;0.001,"&lt;0.001",AVERAGEA(F46:H46,L46:O46))</f>
        <v>0.41142857142857148</v>
      </c>
      <c r="S46" s="578"/>
      <c r="T46" s="2"/>
    </row>
    <row r="47" spans="2:20" ht="12" customHeight="1" x14ac:dyDescent="0.15">
      <c r="B47" s="19">
        <f t="shared" si="0"/>
        <v>35</v>
      </c>
      <c r="C47" s="592" t="s">
        <v>45</v>
      </c>
      <c r="D47" s="593"/>
      <c r="E47" s="11" t="s">
        <v>110</v>
      </c>
      <c r="F47" s="177"/>
      <c r="G47" s="277"/>
      <c r="H47" s="277"/>
      <c r="I47" s="178"/>
      <c r="J47" s="178"/>
      <c r="K47" s="178"/>
      <c r="L47" s="178"/>
      <c r="M47" s="178"/>
      <c r="N47" s="268"/>
      <c r="O47" s="396"/>
      <c r="P47" s="178"/>
      <c r="Q47" s="178"/>
      <c r="R47" s="396"/>
      <c r="S47" s="578"/>
      <c r="T47" s="2"/>
    </row>
    <row r="48" spans="2:20" ht="12" customHeight="1" x14ac:dyDescent="0.15">
      <c r="B48" s="19">
        <f t="shared" si="0"/>
        <v>36</v>
      </c>
      <c r="C48" s="592" t="s">
        <v>46</v>
      </c>
      <c r="D48" s="593"/>
      <c r="E48" s="11" t="s">
        <v>65</v>
      </c>
      <c r="F48" s="170"/>
      <c r="G48" s="187"/>
      <c r="H48" s="187"/>
      <c r="I48" s="91"/>
      <c r="J48" s="91"/>
      <c r="K48" s="91"/>
      <c r="L48" s="91"/>
      <c r="M48" s="91"/>
      <c r="N48" s="366"/>
      <c r="O48" s="395"/>
      <c r="P48" s="91"/>
      <c r="Q48" s="91"/>
      <c r="R48" s="395"/>
      <c r="S48" s="578"/>
      <c r="T48" s="2"/>
    </row>
    <row r="49" spans="2:20" ht="12" customHeight="1" x14ac:dyDescent="0.15">
      <c r="B49" s="19">
        <f t="shared" si="0"/>
        <v>37</v>
      </c>
      <c r="C49" s="592" t="s">
        <v>47</v>
      </c>
      <c r="D49" s="593"/>
      <c r="E49" s="11" t="s">
        <v>107</v>
      </c>
      <c r="F49" s="173">
        <v>0.02</v>
      </c>
      <c r="G49" s="239">
        <v>8.0000000000000002E-3</v>
      </c>
      <c r="H49" s="239">
        <v>2.8000000000000001E-2</v>
      </c>
      <c r="I49" s="239">
        <v>1.7000000000000001E-2</v>
      </c>
      <c r="J49" s="239">
        <v>1.2E-2</v>
      </c>
      <c r="K49" s="239">
        <v>1.2999999999999999E-2</v>
      </c>
      <c r="L49" s="187" t="s">
        <v>543</v>
      </c>
      <c r="M49" s="277">
        <v>0.14000000000000001</v>
      </c>
      <c r="N49" s="179">
        <v>7.9000000000000001E-2</v>
      </c>
      <c r="O49" s="393">
        <v>6.0000000000000001E-3</v>
      </c>
      <c r="P49" s="277">
        <f>IF(MAXA(F49:H49,L49:O49)&lt;0.001,"&lt;0.001",MAXA(F49:H49,L49:O49))</f>
        <v>0.14000000000000001</v>
      </c>
      <c r="Q49" s="179" t="str">
        <f>IF(MINA(F49:H49,L49:O49)&lt;0.001,"&lt;0.001",MINA(F49:H49,L49:O49))</f>
        <v>&lt;0.001</v>
      </c>
      <c r="R49" s="393">
        <f>IF(AVERAGEA(F49:H49,L49:O49)&lt;0.001,"&lt;0.001",AVERAGEA(F49:H49,L49:O49))</f>
        <v>4.0142857142857147E-2</v>
      </c>
      <c r="S49" s="596"/>
      <c r="T49" s="2"/>
    </row>
    <row r="50" spans="2:20" ht="12" customHeight="1" x14ac:dyDescent="0.15">
      <c r="B50" s="19">
        <f t="shared" si="0"/>
        <v>38</v>
      </c>
      <c r="C50" s="592" t="s">
        <v>48</v>
      </c>
      <c r="D50" s="593"/>
      <c r="E50" s="11" t="s">
        <v>65</v>
      </c>
      <c r="F50" s="170">
        <v>7.4</v>
      </c>
      <c r="G50" s="187">
        <v>7.9</v>
      </c>
      <c r="H50" s="187">
        <v>7.5</v>
      </c>
      <c r="I50" s="187">
        <v>8</v>
      </c>
      <c r="J50" s="186">
        <v>11</v>
      </c>
      <c r="K50" s="186">
        <v>11</v>
      </c>
      <c r="L50" s="187">
        <v>7.9</v>
      </c>
      <c r="M50" s="354">
        <v>9.4</v>
      </c>
      <c r="N50" s="354">
        <v>7.1</v>
      </c>
      <c r="O50" s="395">
        <v>8.8000000000000007</v>
      </c>
      <c r="P50" s="91">
        <f>IF(MAXA(F50:H50,L50:O50)&lt;0.1,"&lt;0.1",MAXA(F50:H50,L50:O50))</f>
        <v>9.4</v>
      </c>
      <c r="Q50" s="91">
        <f>IF(MINA(F50:H50,L50:O50)&lt;0.1,"&lt;0.1",MINA(F50:H50,L50:O50))</f>
        <v>7.1</v>
      </c>
      <c r="R50" s="395">
        <f>IF(AVERAGEA(F50:H50,L50:O50)&lt;0.1,"&lt;0.1",AVERAGEA(F50:H50,L50:O50))</f>
        <v>8</v>
      </c>
      <c r="S50" s="9" t="s">
        <v>499</v>
      </c>
      <c r="T50" s="2"/>
    </row>
    <row r="51" spans="2:20" ht="12" customHeight="1" x14ac:dyDescent="0.15">
      <c r="B51" s="19">
        <f t="shared" si="0"/>
        <v>39</v>
      </c>
      <c r="C51" s="592" t="s">
        <v>49</v>
      </c>
      <c r="D51" s="593"/>
      <c r="E51" s="11" t="s">
        <v>66</v>
      </c>
      <c r="F51" s="171">
        <v>21</v>
      </c>
      <c r="G51" s="186">
        <v>22</v>
      </c>
      <c r="H51" s="186">
        <v>25</v>
      </c>
      <c r="I51" s="186">
        <v>20</v>
      </c>
      <c r="J51" s="186">
        <v>23</v>
      </c>
      <c r="K51" s="186">
        <v>23</v>
      </c>
      <c r="L51" s="186">
        <v>24</v>
      </c>
      <c r="M51" s="234">
        <v>36</v>
      </c>
      <c r="N51" s="234">
        <v>29</v>
      </c>
      <c r="O51" s="392">
        <v>29</v>
      </c>
      <c r="P51" s="234">
        <f>IF(MAXA(F51:H51,L51:O51)&lt;3,"&lt;3",MAXA(F51:H51,L51:O51))</f>
        <v>36</v>
      </c>
      <c r="Q51" s="234">
        <f>IF(MINA(F51:H51,L51:O51)&lt;3,"&lt;3",MINA(F51:H51,L51:O51))</f>
        <v>21</v>
      </c>
      <c r="R51" s="392">
        <f>IF(AVERAGEA(F51:H51,L51:O51)&lt;3,"&lt;3",AVERAGEA(F51:H51,L51:O51))</f>
        <v>26.571428571428573</v>
      </c>
      <c r="S51" s="595" t="s">
        <v>500</v>
      </c>
      <c r="T51" s="2"/>
    </row>
    <row r="52" spans="2:20" ht="12" customHeight="1" x14ac:dyDescent="0.15">
      <c r="B52" s="19">
        <f t="shared" si="0"/>
        <v>40</v>
      </c>
      <c r="C52" s="592" t="s">
        <v>50</v>
      </c>
      <c r="D52" s="593"/>
      <c r="E52" s="11" t="s">
        <v>67</v>
      </c>
      <c r="F52" s="171">
        <v>66</v>
      </c>
      <c r="G52" s="186">
        <v>62</v>
      </c>
      <c r="H52" s="186">
        <v>62</v>
      </c>
      <c r="I52" s="186">
        <v>58</v>
      </c>
      <c r="J52" s="186">
        <v>60</v>
      </c>
      <c r="K52" s="186">
        <v>65</v>
      </c>
      <c r="L52" s="186">
        <v>66</v>
      </c>
      <c r="M52" s="234">
        <v>90</v>
      </c>
      <c r="N52" s="234">
        <v>77</v>
      </c>
      <c r="O52" s="392">
        <v>69</v>
      </c>
      <c r="P52" s="234">
        <f>IF(MAXA(F52:H52,L52:O52)&lt;1,"&lt;1",MAXA(F52:H52,L52:O52))</f>
        <v>90</v>
      </c>
      <c r="Q52" s="234">
        <f>IF(MINA(F52:H52,L52:O52)&lt;1,"&lt;1",MINA(F52:H52,L52:O52))</f>
        <v>62</v>
      </c>
      <c r="R52" s="392">
        <f>IF(AVERAGEA(F52:H52,L52:O52)&lt;1,"&lt;1",AVERAGEA(F52:H52,L52:O52))</f>
        <v>70.285714285714292</v>
      </c>
      <c r="S52" s="595"/>
      <c r="T52" s="2"/>
    </row>
    <row r="53" spans="2:20" ht="12" customHeight="1" x14ac:dyDescent="0.15">
      <c r="B53" s="19">
        <f t="shared" si="0"/>
        <v>41</v>
      </c>
      <c r="C53" s="592" t="s">
        <v>51</v>
      </c>
      <c r="D53" s="593"/>
      <c r="E53" s="11" t="s">
        <v>89</v>
      </c>
      <c r="F53" s="177"/>
      <c r="G53" s="277"/>
      <c r="H53" s="277"/>
      <c r="I53" s="277"/>
      <c r="J53" s="178"/>
      <c r="K53" s="336"/>
      <c r="L53" s="178"/>
      <c r="M53" s="178"/>
      <c r="N53" s="268"/>
      <c r="O53" s="396"/>
      <c r="P53" s="178"/>
      <c r="Q53" s="178"/>
      <c r="R53" s="396"/>
      <c r="S53" s="595" t="s">
        <v>62</v>
      </c>
      <c r="T53" s="2"/>
    </row>
    <row r="54" spans="2:20" ht="12" customHeight="1" x14ac:dyDescent="0.15">
      <c r="B54" s="19">
        <f t="shared" si="0"/>
        <v>42</v>
      </c>
      <c r="C54" s="592" t="s">
        <v>244</v>
      </c>
      <c r="D54" s="593"/>
      <c r="E54" s="11" t="s">
        <v>117</v>
      </c>
      <c r="F54" s="198"/>
      <c r="G54" s="279"/>
      <c r="H54" s="279"/>
      <c r="I54" s="279"/>
      <c r="J54" s="338"/>
      <c r="K54" s="338"/>
      <c r="L54" s="288"/>
      <c r="M54" s="288"/>
      <c r="N54" s="311"/>
      <c r="O54" s="398"/>
      <c r="P54" s="198"/>
      <c r="Q54" s="288"/>
      <c r="R54" s="398"/>
      <c r="S54" s="595"/>
      <c r="T54" s="2"/>
    </row>
    <row r="55" spans="2:20" ht="12" customHeight="1" x14ac:dyDescent="0.15">
      <c r="B55" s="19">
        <f t="shared" si="0"/>
        <v>43</v>
      </c>
      <c r="C55" s="592" t="s">
        <v>245</v>
      </c>
      <c r="D55" s="593"/>
      <c r="E55" s="11" t="s">
        <v>117</v>
      </c>
      <c r="F55" s="198"/>
      <c r="G55" s="279"/>
      <c r="H55" s="279"/>
      <c r="I55" s="279"/>
      <c r="J55" s="338"/>
      <c r="K55" s="338"/>
      <c r="L55" s="288"/>
      <c r="M55" s="288"/>
      <c r="N55" s="311"/>
      <c r="O55" s="398"/>
      <c r="P55" s="419"/>
      <c r="Q55" s="420"/>
      <c r="R55" s="421"/>
      <c r="S55" s="595"/>
      <c r="T55" s="2"/>
    </row>
    <row r="56" spans="2:20" ht="12" customHeight="1" x14ac:dyDescent="0.15">
      <c r="B56" s="19">
        <f t="shared" si="0"/>
        <v>44</v>
      </c>
      <c r="C56" s="592" t="s">
        <v>52</v>
      </c>
      <c r="D56" s="593"/>
      <c r="E56" s="11" t="s">
        <v>96</v>
      </c>
      <c r="F56" s="173"/>
      <c r="G56" s="239"/>
      <c r="H56" s="239"/>
      <c r="I56" s="239"/>
      <c r="J56" s="335"/>
      <c r="K56" s="335"/>
      <c r="L56" s="179"/>
      <c r="M56" s="179"/>
      <c r="N56" s="265"/>
      <c r="O56" s="393"/>
      <c r="P56" s="239"/>
      <c r="Q56" s="179"/>
      <c r="R56" s="393"/>
      <c r="S56" s="595"/>
      <c r="T56" s="2"/>
    </row>
    <row r="57" spans="2:20" ht="12" customHeight="1" x14ac:dyDescent="0.15">
      <c r="B57" s="19">
        <f t="shared" si="0"/>
        <v>45</v>
      </c>
      <c r="C57" s="592" t="s">
        <v>53</v>
      </c>
      <c r="D57" s="593"/>
      <c r="E57" s="11" t="s">
        <v>118</v>
      </c>
      <c r="F57" s="176"/>
      <c r="G57" s="278"/>
      <c r="H57" s="278"/>
      <c r="I57" s="278"/>
      <c r="J57" s="337"/>
      <c r="K57" s="337"/>
      <c r="L57" s="237"/>
      <c r="M57" s="237"/>
      <c r="N57" s="270"/>
      <c r="O57" s="397"/>
      <c r="P57" s="278"/>
      <c r="Q57" s="237"/>
      <c r="R57" s="397"/>
      <c r="S57" s="595"/>
      <c r="T57" s="2"/>
    </row>
    <row r="58" spans="2:20" ht="12" customHeight="1" x14ac:dyDescent="0.15">
      <c r="B58" s="28">
        <f t="shared" si="0"/>
        <v>46</v>
      </c>
      <c r="C58" s="592" t="s">
        <v>128</v>
      </c>
      <c r="D58" s="593"/>
      <c r="E58" s="11" t="s">
        <v>97</v>
      </c>
      <c r="F58" s="170">
        <v>0.8</v>
      </c>
      <c r="G58" s="412">
        <v>1.75</v>
      </c>
      <c r="H58" s="187">
        <v>2.27</v>
      </c>
      <c r="I58" s="187">
        <v>2.2400000000000002</v>
      </c>
      <c r="J58" s="91">
        <v>1.55</v>
      </c>
      <c r="K58" s="91">
        <v>1.39</v>
      </c>
      <c r="L58" s="91">
        <v>2.2000000000000002</v>
      </c>
      <c r="M58" s="91">
        <v>2.46</v>
      </c>
      <c r="N58" s="91">
        <v>2.46</v>
      </c>
      <c r="O58" s="395">
        <v>1.77</v>
      </c>
      <c r="P58" s="170">
        <f>IF(MAXA(F58:H58,L58:O58)&lt;0.3,"&lt;0.3",MAXA(F58:H58,L58:O58))</f>
        <v>2.46</v>
      </c>
      <c r="Q58" s="91">
        <f>IF(MINA(F58:H58,L58:O58)&lt;0.3,"&lt;0.3",MINA(F58:H58,L58:O58))</f>
        <v>0.8</v>
      </c>
      <c r="R58" s="395">
        <f>IF(AVERAGEA(F58:H58,L58:O58)&lt;0.3,"&lt;0.3",AVERAGEA(F58:H58,L58:O58))</f>
        <v>1.9585714285714286</v>
      </c>
      <c r="S58" s="595" t="s">
        <v>63</v>
      </c>
      <c r="T58" s="2"/>
    </row>
    <row r="59" spans="2:20" ht="12" customHeight="1" x14ac:dyDescent="0.15">
      <c r="B59" s="19">
        <f t="shared" si="0"/>
        <v>47</v>
      </c>
      <c r="C59" s="592" t="s">
        <v>54</v>
      </c>
      <c r="D59" s="593"/>
      <c r="E59" s="11" t="s">
        <v>68</v>
      </c>
      <c r="F59" s="170">
        <v>7.4</v>
      </c>
      <c r="G59" s="412">
        <v>7.7</v>
      </c>
      <c r="H59" s="187">
        <v>7.5</v>
      </c>
      <c r="I59" s="187">
        <v>7.4</v>
      </c>
      <c r="J59" s="187">
        <v>7.3</v>
      </c>
      <c r="K59" s="187">
        <v>7.2</v>
      </c>
      <c r="L59" s="187">
        <v>9</v>
      </c>
      <c r="M59" s="91">
        <v>7.9</v>
      </c>
      <c r="N59" s="91">
        <v>7.6</v>
      </c>
      <c r="O59" s="395">
        <v>7.7</v>
      </c>
      <c r="P59" s="170">
        <f>MAX(F59:H59,L59:O59)</f>
        <v>9</v>
      </c>
      <c r="Q59" s="91">
        <f>MIN(F59:H59,L59:O59)</f>
        <v>7.4</v>
      </c>
      <c r="R59" s="395">
        <f>AVERAGEA(F59:H59,L59:O59)</f>
        <v>7.8285714285714292</v>
      </c>
      <c r="S59" s="595"/>
      <c r="T59" s="2"/>
    </row>
    <row r="60" spans="2:20" ht="12" customHeight="1" x14ac:dyDescent="0.15">
      <c r="B60" s="19">
        <f t="shared" si="0"/>
        <v>48</v>
      </c>
      <c r="C60" s="592" t="s">
        <v>55</v>
      </c>
      <c r="D60" s="593"/>
      <c r="E60" s="11" t="s">
        <v>121</v>
      </c>
      <c r="F60" s="171"/>
      <c r="G60" s="186"/>
      <c r="H60" s="186"/>
      <c r="I60" s="186"/>
      <c r="J60" s="186"/>
      <c r="K60" s="186"/>
      <c r="L60" s="186"/>
      <c r="M60" s="234"/>
      <c r="N60" s="234"/>
      <c r="O60" s="392"/>
      <c r="P60" s="171"/>
      <c r="Q60" s="234"/>
      <c r="R60" s="392"/>
      <c r="S60" s="595"/>
      <c r="T60" s="2"/>
    </row>
    <row r="61" spans="2:20" ht="12" customHeight="1" x14ac:dyDescent="0.15">
      <c r="B61" s="19">
        <f t="shared" si="0"/>
        <v>49</v>
      </c>
      <c r="C61" s="592" t="s">
        <v>56</v>
      </c>
      <c r="D61" s="593"/>
      <c r="E61" s="11" t="s">
        <v>121</v>
      </c>
      <c r="F61" s="182" t="s">
        <v>467</v>
      </c>
      <c r="G61" s="234" t="s">
        <v>467</v>
      </c>
      <c r="H61" s="234" t="s">
        <v>467</v>
      </c>
      <c r="I61" s="234" t="s">
        <v>271</v>
      </c>
      <c r="J61" s="234" t="s">
        <v>271</v>
      </c>
      <c r="K61" s="234" t="s">
        <v>271</v>
      </c>
      <c r="L61" s="234" t="s">
        <v>467</v>
      </c>
      <c r="M61" s="234" t="s">
        <v>467</v>
      </c>
      <c r="N61" s="234" t="s">
        <v>467</v>
      </c>
      <c r="O61" s="234" t="s">
        <v>598</v>
      </c>
      <c r="P61" s="171"/>
      <c r="Q61" s="234"/>
      <c r="R61" s="392"/>
      <c r="S61" s="595"/>
      <c r="T61" s="2"/>
    </row>
    <row r="62" spans="2:20" ht="12" customHeight="1" x14ac:dyDescent="0.15">
      <c r="B62" s="19">
        <f t="shared" si="0"/>
        <v>50</v>
      </c>
      <c r="C62" s="592" t="s">
        <v>57</v>
      </c>
      <c r="D62" s="593"/>
      <c r="E62" s="11" t="s">
        <v>119</v>
      </c>
      <c r="F62" s="171">
        <v>13</v>
      </c>
      <c r="G62" s="187">
        <v>6.8</v>
      </c>
      <c r="H62" s="187">
        <v>9.3000000000000007</v>
      </c>
      <c r="I62" s="187">
        <v>7.1</v>
      </c>
      <c r="J62" s="187">
        <v>5.8</v>
      </c>
      <c r="K62" s="187">
        <v>6.6</v>
      </c>
      <c r="L62" s="187">
        <v>5.2</v>
      </c>
      <c r="M62" s="186">
        <v>18</v>
      </c>
      <c r="N62" s="186">
        <v>17</v>
      </c>
      <c r="O62" s="395">
        <v>6.9</v>
      </c>
      <c r="P62" s="171">
        <f>IF(MAXA(F62:H62,L62:O62)&lt;0.5,"&lt;0.5",MAXA(F62:H62,L62:O62))</f>
        <v>18</v>
      </c>
      <c r="Q62" s="91">
        <f>IF(MINA(F62:H62,L62:O62)&lt;0.3,"&lt;0.3",MINA(F62:H62,L62:O62))</f>
        <v>5.2</v>
      </c>
      <c r="R62" s="392">
        <f>IF(AVERAGEA(F62:H62,L62:O62)&lt;0.5,"&lt;0.5",AVERAGEA(F62:H62,L62:O62))</f>
        <v>10.885714285714288</v>
      </c>
      <c r="S62" s="595"/>
      <c r="T62" s="2"/>
    </row>
    <row r="63" spans="2:20" ht="12" customHeight="1" thickBot="1" x14ac:dyDescent="0.2">
      <c r="B63" s="24">
        <f t="shared" si="0"/>
        <v>51</v>
      </c>
      <c r="C63" s="606" t="s">
        <v>58</v>
      </c>
      <c r="D63" s="607"/>
      <c r="E63" s="25" t="s">
        <v>120</v>
      </c>
      <c r="F63" s="287">
        <v>22</v>
      </c>
      <c r="G63" s="280">
        <v>2.5</v>
      </c>
      <c r="H63" s="280">
        <v>1.7</v>
      </c>
      <c r="I63" s="280">
        <v>3.4</v>
      </c>
      <c r="J63" s="280">
        <v>2.5</v>
      </c>
      <c r="K63" s="280">
        <v>2.8</v>
      </c>
      <c r="L63" s="280">
        <v>0.9</v>
      </c>
      <c r="M63" s="280">
        <v>3.1</v>
      </c>
      <c r="N63" s="280">
        <v>4.3</v>
      </c>
      <c r="O63" s="280">
        <v>3.2</v>
      </c>
      <c r="P63" s="422">
        <f>IF(MAXA(F63:H63,L63:O63)&lt;0.1,"&lt;0.1",MAXA(F63:H63,L63:O63))</f>
        <v>22</v>
      </c>
      <c r="Q63" s="414">
        <f>IF(MINA(F63:H63,L63:O63)&lt;0.1,"&lt;0.1",MINA(F63:H63,L63:O63))</f>
        <v>0.9</v>
      </c>
      <c r="R63" s="399">
        <f>IF(AVERAGEA(F63:H63,L63:O63)&lt;0.1,"&lt;0.1",AVERAGEA(F63:H63,L63:O63))</f>
        <v>5.3857142857142861</v>
      </c>
      <c r="S63" s="599"/>
      <c r="T63" s="2"/>
    </row>
    <row r="64" spans="2:20" ht="15" customHeight="1" x14ac:dyDescent="0.15">
      <c r="B64" s="584" t="s">
        <v>123</v>
      </c>
      <c r="C64" s="585"/>
      <c r="D64" s="586"/>
      <c r="E64" s="35" t="s">
        <v>133</v>
      </c>
      <c r="F64" s="587" t="s">
        <v>3</v>
      </c>
      <c r="G64" s="585"/>
      <c r="H64" s="585"/>
      <c r="I64" s="585"/>
      <c r="J64" s="585"/>
      <c r="K64" s="585"/>
      <c r="L64" s="585"/>
      <c r="M64" s="585"/>
      <c r="N64" s="585"/>
      <c r="O64" s="588"/>
      <c r="P64" s="587"/>
      <c r="Q64" s="585"/>
      <c r="R64" s="588"/>
      <c r="S64" s="29"/>
      <c r="T64" s="2"/>
    </row>
    <row r="65" spans="2:20" ht="12" customHeight="1" x14ac:dyDescent="0.15">
      <c r="B65" s="39">
        <v>1</v>
      </c>
      <c r="C65" s="592" t="s">
        <v>129</v>
      </c>
      <c r="D65" s="593"/>
      <c r="E65" s="30" t="s">
        <v>172</v>
      </c>
      <c r="F65" s="105" t="s">
        <v>310</v>
      </c>
      <c r="G65" s="172" t="s">
        <v>584</v>
      </c>
      <c r="H65" s="91">
        <v>0.1</v>
      </c>
      <c r="I65" s="91" t="s">
        <v>310</v>
      </c>
      <c r="J65" s="91" t="s">
        <v>310</v>
      </c>
      <c r="K65" s="91" t="s">
        <v>310</v>
      </c>
      <c r="L65" s="91" t="s">
        <v>310</v>
      </c>
      <c r="M65" s="91" t="s">
        <v>310</v>
      </c>
      <c r="N65" s="91" t="s">
        <v>554</v>
      </c>
      <c r="O65" s="379" t="s">
        <v>599</v>
      </c>
      <c r="P65" s="423">
        <f>IF(MAXA(F65:H65,L65:O65)&lt;0.1,"&lt;0.1",MAXA(F65:H65,L65:O65))</f>
        <v>0.1</v>
      </c>
      <c r="Q65" s="108" t="str">
        <f>IF(MINA(F65:H65,L65:O65)&lt;0.1,"&lt;0.1",MINA(F65:H65,L65:O65))</f>
        <v>&lt;0.1</v>
      </c>
      <c r="R65" s="424" t="str">
        <f>IF(AVERAGEA(F65:H65,L65:O65)&lt;0.1,"&lt;0.1",AVERAGEA(F65:H65,L65:O65))</f>
        <v>&lt;0.1</v>
      </c>
      <c r="S65" s="594" t="s">
        <v>63</v>
      </c>
      <c r="T65" s="2"/>
    </row>
    <row r="66" spans="2:20" ht="12" customHeight="1" x14ac:dyDescent="0.15">
      <c r="B66" s="40">
        <f>B65+1</f>
        <v>2</v>
      </c>
      <c r="C66" s="592" t="s">
        <v>184</v>
      </c>
      <c r="D66" s="593"/>
      <c r="E66" s="8" t="s">
        <v>185</v>
      </c>
      <c r="F66" s="187">
        <v>0.6</v>
      </c>
      <c r="G66" s="187">
        <v>1.2</v>
      </c>
      <c r="H66" s="187">
        <v>1</v>
      </c>
      <c r="I66" s="91" t="s">
        <v>532</v>
      </c>
      <c r="J66" s="91" t="s">
        <v>532</v>
      </c>
      <c r="K66" s="91">
        <v>0.6</v>
      </c>
      <c r="L66" s="187">
        <v>0.9</v>
      </c>
      <c r="M66" s="172">
        <v>4.2</v>
      </c>
      <c r="N66" s="363">
        <v>0.6</v>
      </c>
      <c r="O66" s="379">
        <v>0.7</v>
      </c>
      <c r="P66" s="170">
        <f>IF(MAXA(F66:H66,L66:O66)&lt;0.5,"&lt;0.5",MAXA(F66:H66,L66:O66))</f>
        <v>4.2</v>
      </c>
      <c r="Q66" s="91">
        <f>IF(MINA(F66:H66,L66:O66)&lt;0.5,"&lt;0.5",MINA(F66:H66,L66:O66))</f>
        <v>0.6</v>
      </c>
      <c r="R66" s="411">
        <f>IF(AVERAGEA(F66:H66,L66:O66)&lt;0.5,"&lt;0.5",AVERAGEA(F66:H66,L66:O66))</f>
        <v>1.3142857142857143</v>
      </c>
      <c r="S66" s="578"/>
      <c r="T66" s="4"/>
    </row>
    <row r="67" spans="2:20" ht="12" customHeight="1" x14ac:dyDescent="0.15">
      <c r="B67" s="40">
        <f t="shared" ref="B67:B78" si="1">B66+1</f>
        <v>3</v>
      </c>
      <c r="C67" s="592" t="s">
        <v>186</v>
      </c>
      <c r="D67" s="593"/>
      <c r="E67" s="8" t="s">
        <v>185</v>
      </c>
      <c r="F67" s="187">
        <v>3.7</v>
      </c>
      <c r="G67" s="187">
        <v>3.4</v>
      </c>
      <c r="H67" s="187">
        <v>3.4</v>
      </c>
      <c r="I67" s="187">
        <v>2.2999999999999998</v>
      </c>
      <c r="J67" s="187">
        <v>1.9</v>
      </c>
      <c r="K67" s="187">
        <v>2.1</v>
      </c>
      <c r="L67" s="187">
        <v>2.8</v>
      </c>
      <c r="M67" s="354">
        <v>5.0999999999999996</v>
      </c>
      <c r="N67" s="354">
        <v>5.0999999999999996</v>
      </c>
      <c r="O67" s="395">
        <v>3.4</v>
      </c>
      <c r="P67" s="170">
        <f>IF(MAXA(F67:H67,L67:O67)&lt;0.5,"&lt;0.5",MAXA(F67:H67,L67:O67))</f>
        <v>5.0999999999999996</v>
      </c>
      <c r="Q67" s="91">
        <f>IF(MINA(F67:H67,L67:O67)&lt;0.5,"&lt;0.5",MINA(F67:H67,L67:O67))</f>
        <v>2.8</v>
      </c>
      <c r="R67" s="411">
        <f>IF(AVERAGEA(F67:H67,L67:O67)&lt;0.5,"&lt;0.5",AVERAGEA(F67:H67,L67:O67))</f>
        <v>3.8428571428571425</v>
      </c>
      <c r="S67" s="578"/>
    </row>
    <row r="68" spans="2:20" ht="12" customHeight="1" x14ac:dyDescent="0.15">
      <c r="B68" s="40">
        <f t="shared" si="1"/>
        <v>4</v>
      </c>
      <c r="C68" s="592" t="s">
        <v>173</v>
      </c>
      <c r="D68" s="611"/>
      <c r="E68" s="8" t="s">
        <v>174</v>
      </c>
      <c r="F68" s="281">
        <v>12</v>
      </c>
      <c r="G68" s="186">
        <v>1</v>
      </c>
      <c r="H68" s="186">
        <v>1</v>
      </c>
      <c r="I68" s="186">
        <v>2</v>
      </c>
      <c r="J68" s="186">
        <v>1</v>
      </c>
      <c r="K68" s="186">
        <v>1</v>
      </c>
      <c r="L68" s="186" t="s">
        <v>594</v>
      </c>
      <c r="M68" s="355">
        <v>5</v>
      </c>
      <c r="N68" s="186">
        <v>3</v>
      </c>
      <c r="O68" s="403">
        <v>3</v>
      </c>
      <c r="P68" s="171">
        <f>IF(MAXA(F68:H68,L68:O68)&lt;1,"&lt;1",MAXA(F68:H68,L68:O68))</f>
        <v>12</v>
      </c>
      <c r="Q68" s="234" t="str">
        <f>IF(MINA(F68:H68,L68:O68)&lt;1,"&lt;1",MINA(F68:H68,L68:O68))</f>
        <v>&lt;1</v>
      </c>
      <c r="R68" s="264">
        <f>IF(AVERAGEA(F68:H68,L68:O68)&lt;1,"&lt;1",AVERAGEA(F68:H68,L68:O68))</f>
        <v>3.5714285714285716</v>
      </c>
      <c r="S68" s="578"/>
    </row>
    <row r="69" spans="2:20" ht="12" customHeight="1" x14ac:dyDescent="0.15">
      <c r="B69" s="40">
        <f t="shared" si="1"/>
        <v>5</v>
      </c>
      <c r="C69" s="592" t="s">
        <v>131</v>
      </c>
      <c r="D69" s="611"/>
      <c r="E69" s="8" t="s">
        <v>174</v>
      </c>
      <c r="F69" s="283">
        <v>0.42</v>
      </c>
      <c r="G69" s="277">
        <v>0.2</v>
      </c>
      <c r="H69" s="277">
        <v>0.4</v>
      </c>
      <c r="I69" s="277">
        <v>0.32</v>
      </c>
      <c r="J69" s="277">
        <v>0.35</v>
      </c>
      <c r="K69" s="277">
        <v>0.43</v>
      </c>
      <c r="L69" s="277">
        <v>0.19</v>
      </c>
      <c r="M69" s="277">
        <v>0.34</v>
      </c>
      <c r="N69" s="277">
        <v>0.47</v>
      </c>
      <c r="O69" s="277">
        <v>0.37</v>
      </c>
      <c r="P69" s="177">
        <f>IF(MAXA(F69:H69,L69:O69)&lt;0.05,"&lt;0.05",MAXA(F69:H69,L69:O69))</f>
        <v>0.47</v>
      </c>
      <c r="Q69" s="178">
        <f>IF(MINA(F69:H69,L69:O69)&lt;0.05,"&lt;0.05",MINA(F69:H69,L69:O69))</f>
        <v>0.19</v>
      </c>
      <c r="R69" s="268">
        <f>IF(AVERAGEA(F69:H69,L69:O69)&lt;0.05,"&lt;0.05",AVERAGEA(F69:H69,L69:O69))</f>
        <v>0.34142857142857147</v>
      </c>
      <c r="S69" s="578"/>
    </row>
    <row r="70" spans="2:20" ht="12" customHeight="1" x14ac:dyDescent="0.15">
      <c r="B70" s="39">
        <f t="shared" si="1"/>
        <v>6</v>
      </c>
      <c r="C70" s="592" t="s">
        <v>199</v>
      </c>
      <c r="D70" s="611"/>
      <c r="E70" s="30" t="s">
        <v>185</v>
      </c>
      <c r="F70" s="188">
        <v>3.3000000000000002E-2</v>
      </c>
      <c r="G70" s="188">
        <v>1.2E-2</v>
      </c>
      <c r="H70" s="188">
        <v>1.2999999999999999E-2</v>
      </c>
      <c r="I70" s="188">
        <v>0.01</v>
      </c>
      <c r="J70" s="188">
        <v>8.9999999999999993E-3</v>
      </c>
      <c r="K70" s="188">
        <v>0.01</v>
      </c>
      <c r="L70" s="188">
        <v>1.2E-2</v>
      </c>
      <c r="M70" s="188">
        <v>0.02</v>
      </c>
      <c r="N70" s="188">
        <v>1.9E-2</v>
      </c>
      <c r="O70" s="188">
        <v>1.2E-2</v>
      </c>
      <c r="P70" s="173">
        <f>IF(MAXA(F70:H70,L70:O70)&lt;0.003,"&lt;0.003",MAXA(F70:H70,L70:O70))</f>
        <v>3.3000000000000002E-2</v>
      </c>
      <c r="Q70" s="179">
        <f>IF(MINA(F70:H70,L70:O70)&lt;0.003,"&lt;0.003",MINA(F70:H70,L70:O70))</f>
        <v>1.2E-2</v>
      </c>
      <c r="R70" s="265">
        <f>IF(AVERAGEA(F70:H70,L70:O70)&lt;0.003,"&lt;0.003",AVERAGEA(F70:H70,L70:O70))</f>
        <v>1.7285714285714286E-2</v>
      </c>
      <c r="S70" s="578"/>
    </row>
    <row r="71" spans="2:20" ht="12" customHeight="1" x14ac:dyDescent="0.15">
      <c r="B71" s="39">
        <f t="shared" si="1"/>
        <v>7</v>
      </c>
      <c r="C71" s="592" t="s">
        <v>200</v>
      </c>
      <c r="D71" s="611"/>
      <c r="E71" s="30" t="s">
        <v>203</v>
      </c>
      <c r="F71" s="284">
        <v>11</v>
      </c>
      <c r="G71" s="302">
        <v>9.8000000000000007</v>
      </c>
      <c r="H71" s="302">
        <v>8.8000000000000007</v>
      </c>
      <c r="I71" s="302">
        <v>8.8000000000000007</v>
      </c>
      <c r="J71" s="302">
        <v>9.3000000000000007</v>
      </c>
      <c r="K71" s="302">
        <v>8.8000000000000007</v>
      </c>
      <c r="L71" s="302">
        <v>9.4</v>
      </c>
      <c r="M71" s="357">
        <v>9.8000000000000007</v>
      </c>
      <c r="N71" s="357">
        <v>9</v>
      </c>
      <c r="O71" s="305">
        <v>10</v>
      </c>
      <c r="P71" s="171">
        <f>IF(MAXA(F71:H71,L71:O71)&lt;0.5,"&lt;0.5",MAXA(F71:H71,L71:O71))</f>
        <v>11</v>
      </c>
      <c r="Q71" s="91">
        <f>IF(MINA(F71:H71,L71:O71)&lt;0.5,"&lt;0.5",MINA(F71:H71,L71:O71))</f>
        <v>8.8000000000000007</v>
      </c>
      <c r="R71" s="411">
        <f>IF(AVERAGEA(F71:H71,L71:O71)&lt;0.5,"&lt;0.5",AVERAGEA(F71:H71,L71:O71))</f>
        <v>9.6857142857142851</v>
      </c>
      <c r="S71" s="578"/>
    </row>
    <row r="72" spans="2:20" ht="12" customHeight="1" x14ac:dyDescent="0.15">
      <c r="B72" s="40">
        <f t="shared" si="1"/>
        <v>8</v>
      </c>
      <c r="C72" s="592" t="s">
        <v>514</v>
      </c>
      <c r="D72" s="593"/>
      <c r="E72" s="8" t="s">
        <v>170</v>
      </c>
      <c r="F72" s="185">
        <v>49</v>
      </c>
      <c r="G72" s="185">
        <v>2</v>
      </c>
      <c r="H72" s="185">
        <v>3</v>
      </c>
      <c r="I72" s="185">
        <v>6</v>
      </c>
      <c r="J72" s="185">
        <v>0</v>
      </c>
      <c r="K72" s="185">
        <v>3</v>
      </c>
      <c r="L72" s="185">
        <v>5</v>
      </c>
      <c r="M72" s="356">
        <v>16</v>
      </c>
      <c r="N72" s="356">
        <v>6</v>
      </c>
      <c r="O72" s="381">
        <v>22</v>
      </c>
      <c r="P72" s="171">
        <f>MAX(F72:H72,L72:O72)</f>
        <v>49</v>
      </c>
      <c r="Q72" s="234">
        <f>MIN(F72:H72,L72:O72)</f>
        <v>2</v>
      </c>
      <c r="R72" s="264">
        <f>AVERAGEA(F72:H72,L72:O72)</f>
        <v>14.714285714285714</v>
      </c>
      <c r="S72" s="578"/>
    </row>
    <row r="73" spans="2:20" ht="12" customHeight="1" x14ac:dyDescent="0.15">
      <c r="B73" s="40">
        <f t="shared" si="1"/>
        <v>9</v>
      </c>
      <c r="C73" s="592" t="s">
        <v>79</v>
      </c>
      <c r="D73" s="593"/>
      <c r="E73" s="8"/>
      <c r="F73" s="185">
        <v>2</v>
      </c>
      <c r="G73" s="308">
        <v>1</v>
      </c>
      <c r="H73" s="308">
        <v>1</v>
      </c>
      <c r="I73" s="91" t="s">
        <v>591</v>
      </c>
      <c r="J73" s="91" t="s">
        <v>534</v>
      </c>
      <c r="K73" s="91" t="s">
        <v>327</v>
      </c>
      <c r="L73" s="308">
        <v>2</v>
      </c>
      <c r="M73" s="308">
        <v>2</v>
      </c>
      <c r="N73" s="308">
        <v>3</v>
      </c>
      <c r="O73" s="264">
        <v>2</v>
      </c>
      <c r="P73" s="171">
        <f>IF(MAXA(F73:H73,L73:O73)&lt;1,"&lt;1",MAXA(F73:H73,L73:O73))</f>
        <v>3</v>
      </c>
      <c r="Q73" s="234">
        <f>IF(MINA(F73:H73,L73:O73)&lt;0.5,"&lt;0.5",MINA(F73:H73,L73:O73))</f>
        <v>1</v>
      </c>
      <c r="R73" s="264">
        <f>IF(AVERAGEA(F73:H73,L73:O73)&lt;1,"&lt;1",AVERAGEA(F73:H73,L73:O73))</f>
        <v>1.8571428571428572</v>
      </c>
      <c r="S73" s="578"/>
    </row>
    <row r="74" spans="2:20" ht="12" customHeight="1" x14ac:dyDescent="0.15">
      <c r="B74" s="40">
        <f t="shared" si="1"/>
        <v>10</v>
      </c>
      <c r="C74" s="592" t="s">
        <v>168</v>
      </c>
      <c r="D74" s="593"/>
      <c r="E74" s="30" t="s">
        <v>174</v>
      </c>
      <c r="F74" s="164">
        <v>18</v>
      </c>
      <c r="G74" s="185">
        <v>26</v>
      </c>
      <c r="H74" s="185">
        <v>28</v>
      </c>
      <c r="I74" s="185">
        <v>19</v>
      </c>
      <c r="J74" s="185">
        <v>21</v>
      </c>
      <c r="K74" s="185">
        <v>22</v>
      </c>
      <c r="L74" s="185">
        <v>29</v>
      </c>
      <c r="M74" s="356">
        <v>38</v>
      </c>
      <c r="N74" s="356">
        <v>30</v>
      </c>
      <c r="O74" s="381">
        <v>27</v>
      </c>
      <c r="P74" s="171">
        <f>IF(MAXA(F74:H74,L74:O74)&lt;0.5,"&lt;0.5",MAXA(F74:H74,L74:O74))</f>
        <v>38</v>
      </c>
      <c r="Q74" s="234">
        <f>IF(MINA(F74:H74,L74:O74)&lt;0.5,"&lt;0.5",MINA(F74:H74,L74:O74))</f>
        <v>18</v>
      </c>
      <c r="R74" s="264">
        <f>IF(AVERAGEA(F74:H74,L74:O74)&lt;0.5,"&lt;0.5",AVERAGEA(F74:H74,L74:O74))</f>
        <v>28</v>
      </c>
      <c r="S74" s="578"/>
    </row>
    <row r="75" spans="2:20" ht="12" customHeight="1" x14ac:dyDescent="0.15">
      <c r="B75" s="40">
        <f t="shared" si="1"/>
        <v>11</v>
      </c>
      <c r="C75" s="630" t="s">
        <v>169</v>
      </c>
      <c r="D75" s="631"/>
      <c r="E75" s="8" t="s">
        <v>203</v>
      </c>
      <c r="F75" s="164" t="s">
        <v>468</v>
      </c>
      <c r="G75" s="91" t="s">
        <v>310</v>
      </c>
      <c r="H75" s="91" t="s">
        <v>310</v>
      </c>
      <c r="I75" s="91" t="s">
        <v>310</v>
      </c>
      <c r="J75" s="91" t="s">
        <v>310</v>
      </c>
      <c r="K75" s="91" t="s">
        <v>310</v>
      </c>
      <c r="L75" s="91" t="s">
        <v>310</v>
      </c>
      <c r="M75" s="91" t="s">
        <v>310</v>
      </c>
      <c r="N75" s="91" t="s">
        <v>554</v>
      </c>
      <c r="O75" s="379" t="s">
        <v>468</v>
      </c>
      <c r="P75" s="217" t="str">
        <f>IF(MAXA(F75:H75,L75:O75)&lt;0.1,"&lt;0.1",MAXA(F75:H75,L75:O75))</f>
        <v>&lt;0.1</v>
      </c>
      <c r="Q75" s="352" t="str">
        <f>IF(MINA(F75:H75,L75:O75)&lt;0.1,"&lt;0.1",MINA(F75:H75,L75:O75))</f>
        <v>&lt;0.1</v>
      </c>
      <c r="R75" s="425" t="str">
        <f>IF(AVERAGEA(F75:H75,L75:O75)&lt;0.1,"&lt;0.1",AVERAGEA(F75:H75,L75:O75))</f>
        <v>&lt;0.1</v>
      </c>
      <c r="S75" s="632"/>
    </row>
    <row r="76" spans="2:20" ht="12" customHeight="1" x14ac:dyDescent="0.15">
      <c r="B76" s="40">
        <f t="shared" si="1"/>
        <v>12</v>
      </c>
      <c r="C76" s="592" t="s">
        <v>201</v>
      </c>
      <c r="D76" s="593"/>
      <c r="E76" s="8" t="s">
        <v>204</v>
      </c>
      <c r="F76" s="165">
        <v>0.6</v>
      </c>
      <c r="G76" s="309">
        <v>2.4</v>
      </c>
      <c r="H76" s="309">
        <v>3.2</v>
      </c>
      <c r="I76" s="309"/>
      <c r="J76" s="309"/>
      <c r="K76" s="309"/>
      <c r="L76" s="309">
        <v>2.5</v>
      </c>
      <c r="M76" s="354">
        <v>1.6</v>
      </c>
      <c r="N76" s="354">
        <v>1.4</v>
      </c>
      <c r="O76" s="395">
        <v>2</v>
      </c>
      <c r="P76" s="170">
        <f>MAX(F76:H76,L76:O76)</f>
        <v>3.2</v>
      </c>
      <c r="Q76" s="91">
        <f>MIN(F76:H76,L76:O76)</f>
        <v>0.6</v>
      </c>
      <c r="R76" s="411">
        <f>AVERAGEA(F76:H76,L76:O76)</f>
        <v>1.9571428571428571</v>
      </c>
      <c r="S76" s="632"/>
    </row>
    <row r="77" spans="2:20" ht="12" customHeight="1" x14ac:dyDescent="0.15">
      <c r="B77" s="40">
        <f t="shared" si="1"/>
        <v>13</v>
      </c>
      <c r="C77" s="592" t="s">
        <v>261</v>
      </c>
      <c r="D77" s="593"/>
      <c r="E77" s="8" t="s">
        <v>262</v>
      </c>
      <c r="F77" s="164">
        <v>93</v>
      </c>
      <c r="G77" s="185">
        <v>120</v>
      </c>
      <c r="H77" s="185">
        <v>120</v>
      </c>
      <c r="I77" s="185">
        <v>110</v>
      </c>
      <c r="J77" s="185">
        <v>110</v>
      </c>
      <c r="K77" s="333">
        <v>120</v>
      </c>
      <c r="L77" s="333">
        <v>130</v>
      </c>
      <c r="M77" s="172">
        <v>150</v>
      </c>
      <c r="N77" s="363">
        <v>130</v>
      </c>
      <c r="O77" s="404">
        <v>130</v>
      </c>
      <c r="P77" s="426">
        <f>MAX(F77:H77,L77:O77)</f>
        <v>150</v>
      </c>
      <c r="Q77" s="427">
        <f>MIN(F77:H77,L77:O77)</f>
        <v>93</v>
      </c>
      <c r="R77" s="428">
        <f>AVERAGEA(F77:H77,L77:O77)</f>
        <v>124.71428571428571</v>
      </c>
      <c r="S77" s="632"/>
    </row>
    <row r="78" spans="2:20" ht="12" customHeight="1" thickBot="1" x14ac:dyDescent="0.2">
      <c r="B78" s="40">
        <f t="shared" si="1"/>
        <v>14</v>
      </c>
      <c r="C78" s="592" t="s">
        <v>202</v>
      </c>
      <c r="D78" s="593"/>
      <c r="E78" s="8" t="s">
        <v>203</v>
      </c>
      <c r="F78" s="285" t="s">
        <v>469</v>
      </c>
      <c r="G78" s="310">
        <v>4.0000000000000001E-3</v>
      </c>
      <c r="H78" s="334">
        <v>4.0000000000000001E-3</v>
      </c>
      <c r="I78" s="179" t="s">
        <v>307</v>
      </c>
      <c r="J78" s="179" t="s">
        <v>307</v>
      </c>
      <c r="K78" s="91" t="s">
        <v>307</v>
      </c>
      <c r="L78" s="179" t="s">
        <v>307</v>
      </c>
      <c r="M78" s="310">
        <v>0.14000000000000001</v>
      </c>
      <c r="N78" s="310">
        <v>8.0000000000000002E-3</v>
      </c>
      <c r="O78" s="310">
        <v>7.0000000000000001E-3</v>
      </c>
      <c r="P78" s="415">
        <f>IF(MAXA(F78:H78,L78:O78)&lt;0.002,"&lt;0.002",MAXA(F78:H78,L78:O78))</f>
        <v>0.14000000000000001</v>
      </c>
      <c r="Q78" s="331" t="str">
        <f>IF(MINA(F78:H78,L78:O78)&lt;0.002,"&lt;0.002",MINA(F78:H78,L78:O78))</f>
        <v>&lt;0.002</v>
      </c>
      <c r="R78" s="429">
        <f>IF(AVERAGEA(F78:H78,L78:O78)&lt;0.002,"&lt;0.002",AVERAGEA(F78:H78,L78:O78))</f>
        <v>2.3285714285714292E-2</v>
      </c>
      <c r="S78" s="633"/>
    </row>
    <row r="79" spans="2:20" ht="15" customHeight="1" thickBot="1" x14ac:dyDescent="0.2">
      <c r="B79" s="603" t="s">
        <v>127</v>
      </c>
      <c r="C79" s="604"/>
      <c r="D79" s="604"/>
      <c r="E79" s="604"/>
      <c r="F79" s="286" t="s">
        <v>205</v>
      </c>
      <c r="G79" s="215" t="s">
        <v>205</v>
      </c>
      <c r="H79" s="215" t="s">
        <v>205</v>
      </c>
      <c r="I79" s="215" t="s">
        <v>205</v>
      </c>
      <c r="J79" s="215" t="s">
        <v>205</v>
      </c>
      <c r="K79" s="215" t="s">
        <v>205</v>
      </c>
      <c r="L79" s="215" t="s">
        <v>205</v>
      </c>
      <c r="M79" s="215" t="s">
        <v>205</v>
      </c>
      <c r="N79" s="215" t="s">
        <v>205</v>
      </c>
      <c r="O79" s="402" t="s">
        <v>555</v>
      </c>
      <c r="P79" s="5"/>
      <c r="Q79" s="95"/>
      <c r="R79" s="95"/>
    </row>
    <row r="80" spans="2:20" ht="12" customHeight="1" x14ac:dyDescent="0.15">
      <c r="B80" s="4"/>
      <c r="C80" s="1"/>
      <c r="D80" s="1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602"/>
      <c r="Q80" s="602" t="str">
        <f>IF(MINA(F80:H80,L80:O80)&lt;0.5,"&lt;0.5",MINA(F80:H80,L80:O80))</f>
        <v>&lt;0.5</v>
      </c>
      <c r="R80" s="602" t="str">
        <f>IF(MINA(G80:I80,M80:P80)&lt;0.5,"&lt;0.5",MINA(G80:I80,M80:P80))</f>
        <v>&lt;0.5</v>
      </c>
    </row>
    <row r="81" spans="2:19" ht="12" customHeight="1" x14ac:dyDescent="0.15">
      <c r="B81" s="4"/>
      <c r="C81" s="3" t="s">
        <v>495</v>
      </c>
      <c r="D81" s="1"/>
      <c r="E81" s="1"/>
      <c r="F81" s="1"/>
      <c r="G81" s="1"/>
      <c r="H81" s="1"/>
      <c r="I81" s="1"/>
      <c r="J81" s="1"/>
      <c r="K81" s="4"/>
      <c r="L81" s="4"/>
      <c r="M81" s="4"/>
      <c r="N81" s="4"/>
      <c r="O81" s="4"/>
      <c r="P81" s="4"/>
      <c r="Q81" s="4"/>
      <c r="R81" s="4"/>
      <c r="S81" s="1"/>
    </row>
    <row r="82" spans="2:19" ht="10.15" customHeight="1" x14ac:dyDescent="0.15">
      <c r="B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</row>
  </sheetData>
  <mergeCells count="98">
    <mergeCell ref="B1:Q1"/>
    <mergeCell ref="G3:K3"/>
    <mergeCell ref="G4:K4"/>
    <mergeCell ref="S65:S78"/>
    <mergeCell ref="C72:D72"/>
    <mergeCell ref="C73:D73"/>
    <mergeCell ref="C74:D74"/>
    <mergeCell ref="C68:D68"/>
    <mergeCell ref="C71:D71"/>
    <mergeCell ref="P64:R64"/>
    <mergeCell ref="B64:D64"/>
    <mergeCell ref="C65:D65"/>
    <mergeCell ref="F64:O64"/>
    <mergeCell ref="C69:D69"/>
    <mergeCell ref="C70:D70"/>
    <mergeCell ref="C66:D66"/>
    <mergeCell ref="C22:D22"/>
    <mergeCell ref="C23:D23"/>
    <mergeCell ref="C24:D24"/>
    <mergeCell ref="B79:E79"/>
    <mergeCell ref="P80:R80"/>
    <mergeCell ref="C75:D75"/>
    <mergeCell ref="C76:D76"/>
    <mergeCell ref="C77:D77"/>
    <mergeCell ref="C78:D78"/>
    <mergeCell ref="C52:D52"/>
    <mergeCell ref="C55:D55"/>
    <mergeCell ref="C56:D56"/>
    <mergeCell ref="C67:D67"/>
    <mergeCell ref="C48:D48"/>
    <mergeCell ref="C41:D41"/>
    <mergeCell ref="C25:D25"/>
    <mergeCell ref="B4:C4"/>
    <mergeCell ref="C14:D14"/>
    <mergeCell ref="C15:D15"/>
    <mergeCell ref="D8:E8"/>
    <mergeCell ref="D9:E9"/>
    <mergeCell ref="B6:C11"/>
    <mergeCell ref="D10:E10"/>
    <mergeCell ref="D6:E6"/>
    <mergeCell ref="D7:E7"/>
    <mergeCell ref="D11:E11"/>
    <mergeCell ref="C36:D36"/>
    <mergeCell ref="C37:D37"/>
    <mergeCell ref="C38:D38"/>
    <mergeCell ref="C39:D39"/>
    <mergeCell ref="C40:D40"/>
    <mergeCell ref="S58:S63"/>
    <mergeCell ref="S6:S11"/>
    <mergeCell ref="R6:R9"/>
    <mergeCell ref="S51:S52"/>
    <mergeCell ref="S26:S32"/>
    <mergeCell ref="S13:S14"/>
    <mergeCell ref="S15:S20"/>
    <mergeCell ref="S33:S43"/>
    <mergeCell ref="S21:S25"/>
    <mergeCell ref="S44:S49"/>
    <mergeCell ref="S53:S57"/>
    <mergeCell ref="Q6:Q9"/>
    <mergeCell ref="F12:O12"/>
    <mergeCell ref="P12:R12"/>
    <mergeCell ref="C18:D18"/>
    <mergeCell ref="B12:D12"/>
    <mergeCell ref="C13:D13"/>
    <mergeCell ref="C16:D16"/>
    <mergeCell ref="C17:D17"/>
    <mergeCell ref="C54:D54"/>
    <mergeCell ref="C49:D49"/>
    <mergeCell ref="C50:D50"/>
    <mergeCell ref="C51:D51"/>
    <mergeCell ref="P6:P9"/>
    <mergeCell ref="C19:D19"/>
    <mergeCell ref="C20:D20"/>
    <mergeCell ref="C30:D30"/>
    <mergeCell ref="C44:D44"/>
    <mergeCell ref="C35:D35"/>
    <mergeCell ref="C31:D31"/>
    <mergeCell ref="C21:D21"/>
    <mergeCell ref="C34:D34"/>
    <mergeCell ref="C33:D33"/>
    <mergeCell ref="C32:D32"/>
    <mergeCell ref="C43:D43"/>
    <mergeCell ref="C26:D26"/>
    <mergeCell ref="C27:D27"/>
    <mergeCell ref="C28:D28"/>
    <mergeCell ref="C29:D29"/>
    <mergeCell ref="C63:D63"/>
    <mergeCell ref="C57:D57"/>
    <mergeCell ref="C58:D58"/>
    <mergeCell ref="C59:D59"/>
    <mergeCell ref="C42:D42"/>
    <mergeCell ref="C60:D60"/>
    <mergeCell ref="C61:D61"/>
    <mergeCell ref="C45:D45"/>
    <mergeCell ref="C46:D46"/>
    <mergeCell ref="C47:D47"/>
    <mergeCell ref="C62:D62"/>
    <mergeCell ref="C53:D53"/>
  </mergeCells>
  <phoneticPr fontId="4"/>
  <printOptions horizontalCentered="1"/>
  <pageMargins left="0.70866141732283472" right="0.70866141732283472" top="0.59055118110236227" bottom="0.19685039370078741" header="0" footer="0"/>
  <pageSetup paperSize="9" scale="59" orientation="landscape" r:id="rId1"/>
  <headerFooter alignWithMargins="0"/>
  <colBreaks count="1" manualBreakCount="1">
    <brk id="1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>
    <pageSetUpPr fitToPage="1"/>
  </sheetPr>
  <dimension ref="B1:V84"/>
  <sheetViews>
    <sheetView zoomScaleNormal="100" zoomScaleSheetLayoutView="90" workbookViewId="0"/>
  </sheetViews>
  <sheetFormatPr defaultColWidth="8.875" defaultRowHeight="10.15" customHeight="1" x14ac:dyDescent="0.15"/>
  <cols>
    <col min="1" max="1" width="1.75" style="3" customWidth="1"/>
    <col min="2" max="2" width="3.125" style="3" customWidth="1"/>
    <col min="3" max="3" width="8.875" style="3" customWidth="1"/>
    <col min="4" max="4" width="14.25" style="3" customWidth="1"/>
    <col min="5" max="5" width="12.125" style="3" customWidth="1"/>
    <col min="6" max="20" width="7.5" style="3" customWidth="1"/>
    <col min="21" max="21" width="13.5" style="4" customWidth="1"/>
    <col min="22" max="22" width="3.5" style="3" customWidth="1"/>
    <col min="23" max="16384" width="8.875" style="3"/>
  </cols>
  <sheetData>
    <row r="1" spans="2:22" ht="20.100000000000001" customHeight="1" x14ac:dyDescent="0.15">
      <c r="B1" s="551" t="s">
        <v>685</v>
      </c>
      <c r="C1" s="551"/>
      <c r="D1" s="551"/>
      <c r="E1" s="551"/>
      <c r="F1" s="551"/>
      <c r="G1" s="551"/>
      <c r="H1" s="551"/>
      <c r="I1" s="551"/>
      <c r="J1" s="551"/>
      <c r="K1" s="551"/>
      <c r="L1" s="551"/>
      <c r="M1" s="551"/>
      <c r="N1" s="551"/>
      <c r="O1" s="551"/>
      <c r="P1" s="551"/>
      <c r="Q1" s="551"/>
    </row>
    <row r="2" spans="2:22" ht="12" customHeight="1" thickBot="1" x14ac:dyDescent="0.2">
      <c r="C2" s="16"/>
    </row>
    <row r="3" spans="2:22" ht="16.899999999999999" customHeight="1" thickBot="1" x14ac:dyDescent="0.2">
      <c r="B3" s="4"/>
      <c r="C3" s="10"/>
      <c r="D3" s="12"/>
      <c r="E3" s="4"/>
      <c r="F3" s="41" t="s">
        <v>7</v>
      </c>
      <c r="G3" s="639" t="s">
        <v>8</v>
      </c>
      <c r="H3" s="639"/>
      <c r="I3" s="639"/>
      <c r="J3" s="639"/>
      <c r="K3" s="639"/>
      <c r="L3" s="4"/>
      <c r="M3" s="4"/>
      <c r="N3" s="4"/>
      <c r="O3" s="4"/>
      <c r="P3" s="4"/>
      <c r="Q3" s="4"/>
      <c r="R3" s="4"/>
      <c r="S3" s="4"/>
      <c r="T3" s="4"/>
      <c r="V3" s="4"/>
    </row>
    <row r="4" spans="2:22" ht="16.899999999999999" customHeight="1" thickBot="1" x14ac:dyDescent="0.2">
      <c r="B4" s="620" t="s">
        <v>23</v>
      </c>
      <c r="C4" s="621"/>
      <c r="D4" s="31" t="s">
        <v>157</v>
      </c>
      <c r="E4" s="4"/>
      <c r="F4" s="42"/>
      <c r="G4" s="646" t="s">
        <v>135</v>
      </c>
      <c r="H4" s="646"/>
      <c r="I4" s="646"/>
      <c r="J4" s="646"/>
      <c r="K4" s="646"/>
      <c r="L4" s="4"/>
      <c r="M4" s="4"/>
      <c r="N4" s="4"/>
      <c r="O4" s="4"/>
      <c r="P4" s="4"/>
      <c r="Q4" s="4"/>
      <c r="R4" s="4"/>
      <c r="S4" s="4"/>
      <c r="T4" s="4"/>
      <c r="V4" s="4"/>
    </row>
    <row r="5" spans="2:22" ht="10.15" customHeight="1" thickBot="1" x14ac:dyDescent="0.2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V5" s="4"/>
    </row>
    <row r="6" spans="2:22" ht="12" customHeight="1" x14ac:dyDescent="0.15">
      <c r="B6" s="624" t="s">
        <v>124</v>
      </c>
      <c r="C6" s="625"/>
      <c r="D6" s="628" t="s">
        <v>9</v>
      </c>
      <c r="E6" s="629"/>
      <c r="F6" s="167">
        <v>45028</v>
      </c>
      <c r="G6" s="233">
        <v>45056</v>
      </c>
      <c r="H6" s="298">
        <v>45084</v>
      </c>
      <c r="I6" s="233">
        <v>45112</v>
      </c>
      <c r="J6" s="233">
        <v>45140</v>
      </c>
      <c r="K6" s="233">
        <v>45175</v>
      </c>
      <c r="L6" s="374">
        <v>45203</v>
      </c>
      <c r="M6" s="233">
        <v>45238</v>
      </c>
      <c r="N6" s="233">
        <v>45266</v>
      </c>
      <c r="O6" s="233">
        <v>45301</v>
      </c>
      <c r="P6" s="233">
        <v>45329</v>
      </c>
      <c r="Q6" s="405">
        <v>45357</v>
      </c>
      <c r="R6" s="640" t="s">
        <v>0</v>
      </c>
      <c r="S6" s="643" t="s">
        <v>1</v>
      </c>
      <c r="T6" s="574" t="s">
        <v>2</v>
      </c>
      <c r="U6" s="577" t="s">
        <v>15</v>
      </c>
      <c r="V6" s="4"/>
    </row>
    <row r="7" spans="2:22" ht="12" customHeight="1" x14ac:dyDescent="0.15">
      <c r="B7" s="626"/>
      <c r="C7" s="627"/>
      <c r="D7" s="622" t="s">
        <v>14</v>
      </c>
      <c r="E7" s="623"/>
      <c r="F7" s="168">
        <v>0.3611111111111111</v>
      </c>
      <c r="G7" s="169">
        <v>0.36180555555555555</v>
      </c>
      <c r="H7" s="204">
        <v>0.35625000000000001</v>
      </c>
      <c r="I7" s="204">
        <v>0.35833333333333334</v>
      </c>
      <c r="J7" s="169">
        <v>0.36249999999999999</v>
      </c>
      <c r="K7" s="169">
        <v>0.36319444444444443</v>
      </c>
      <c r="L7" s="375">
        <v>0.36041666666666666</v>
      </c>
      <c r="M7" s="169">
        <v>0.3611111111111111</v>
      </c>
      <c r="N7" s="169">
        <v>0.37361111111111112</v>
      </c>
      <c r="O7" s="169">
        <v>0.3659722222222222</v>
      </c>
      <c r="P7" s="169">
        <v>0.3576388888888889</v>
      </c>
      <c r="Q7" s="406">
        <v>0.36319444444444443</v>
      </c>
      <c r="R7" s="641"/>
      <c r="S7" s="644"/>
      <c r="T7" s="647"/>
      <c r="U7" s="578"/>
      <c r="V7" s="4"/>
    </row>
    <row r="8" spans="2:22" ht="12" customHeight="1" x14ac:dyDescent="0.15">
      <c r="B8" s="626"/>
      <c r="C8" s="627"/>
      <c r="D8" s="622" t="s">
        <v>10</v>
      </c>
      <c r="E8" s="623"/>
      <c r="F8" s="169" t="s">
        <v>466</v>
      </c>
      <c r="G8" s="169" t="s">
        <v>515</v>
      </c>
      <c r="H8" s="169" t="s">
        <v>580</v>
      </c>
      <c r="I8" s="172" t="s">
        <v>302</v>
      </c>
      <c r="J8" s="169" t="s">
        <v>580</v>
      </c>
      <c r="K8" s="172" t="s">
        <v>302</v>
      </c>
      <c r="L8" s="363" t="s">
        <v>580</v>
      </c>
      <c r="M8" s="169" t="s">
        <v>302</v>
      </c>
      <c r="N8" s="169" t="s">
        <v>302</v>
      </c>
      <c r="O8" s="447" t="s">
        <v>557</v>
      </c>
      <c r="P8" s="169" t="s">
        <v>302</v>
      </c>
      <c r="Q8" s="406" t="s">
        <v>302</v>
      </c>
      <c r="R8" s="641"/>
      <c r="S8" s="644"/>
      <c r="T8" s="647"/>
      <c r="U8" s="578"/>
      <c r="V8" s="4"/>
    </row>
    <row r="9" spans="2:22" ht="12" customHeight="1" x14ac:dyDescent="0.15">
      <c r="B9" s="626"/>
      <c r="C9" s="627"/>
      <c r="D9" s="649" t="s">
        <v>11</v>
      </c>
      <c r="E9" s="650"/>
      <c r="F9" s="169" t="s">
        <v>525</v>
      </c>
      <c r="G9" s="169" t="s">
        <v>515</v>
      </c>
      <c r="H9" s="169" t="s">
        <v>302</v>
      </c>
      <c r="I9" s="172" t="s">
        <v>536</v>
      </c>
      <c r="J9" s="169" t="s">
        <v>302</v>
      </c>
      <c r="K9" s="172" t="s">
        <v>525</v>
      </c>
      <c r="L9" s="363" t="s">
        <v>551</v>
      </c>
      <c r="M9" s="169" t="s">
        <v>302</v>
      </c>
      <c r="N9" s="169" t="s">
        <v>580</v>
      </c>
      <c r="O9" s="169" t="s">
        <v>557</v>
      </c>
      <c r="P9" s="169" t="s">
        <v>302</v>
      </c>
      <c r="Q9" s="484" t="s">
        <v>302</v>
      </c>
      <c r="R9" s="642"/>
      <c r="S9" s="645"/>
      <c r="T9" s="648"/>
      <c r="U9" s="578"/>
      <c r="V9" s="4"/>
    </row>
    <row r="10" spans="2:22" ht="12" customHeight="1" x14ac:dyDescent="0.15">
      <c r="B10" s="626"/>
      <c r="C10" s="627"/>
      <c r="D10" s="649" t="s">
        <v>12</v>
      </c>
      <c r="E10" s="650"/>
      <c r="F10" s="170">
        <v>10.3</v>
      </c>
      <c r="G10" s="91">
        <v>14</v>
      </c>
      <c r="H10" s="187">
        <v>21.4</v>
      </c>
      <c r="I10" s="91">
        <v>23.7</v>
      </c>
      <c r="J10" s="91">
        <v>27.8</v>
      </c>
      <c r="K10" s="91">
        <v>24.5</v>
      </c>
      <c r="L10" s="366">
        <v>19</v>
      </c>
      <c r="M10" s="91">
        <v>12.1</v>
      </c>
      <c r="N10" s="91">
        <v>6.5</v>
      </c>
      <c r="O10" s="91">
        <v>0.5</v>
      </c>
      <c r="P10" s="91">
        <v>1.4</v>
      </c>
      <c r="Q10" s="395">
        <v>5.3</v>
      </c>
      <c r="R10" s="170">
        <f>MAX(F10:Q10)</f>
        <v>27.8</v>
      </c>
      <c r="S10" s="485">
        <f>MIN(F10:Q10)</f>
        <v>0.5</v>
      </c>
      <c r="T10" s="395">
        <f>AVERAGEA(F10:Q10)</f>
        <v>13.875</v>
      </c>
      <c r="U10" s="578"/>
      <c r="V10" s="4"/>
    </row>
    <row r="11" spans="2:22" ht="12" customHeight="1" thickBot="1" x14ac:dyDescent="0.2">
      <c r="B11" s="626"/>
      <c r="C11" s="627"/>
      <c r="D11" s="649" t="s">
        <v>263</v>
      </c>
      <c r="E11" s="650"/>
      <c r="F11" s="170">
        <v>7.8</v>
      </c>
      <c r="G11" s="91">
        <v>9.8000000000000007</v>
      </c>
      <c r="H11" s="187">
        <v>15.1</v>
      </c>
      <c r="I11" s="91">
        <v>19.100000000000001</v>
      </c>
      <c r="J11" s="91">
        <v>20.399999999999999</v>
      </c>
      <c r="K11" s="91">
        <v>14.5</v>
      </c>
      <c r="L11" s="366">
        <v>18.600000000000001</v>
      </c>
      <c r="M11" s="91">
        <v>12.9</v>
      </c>
      <c r="N11" s="91">
        <v>8.4</v>
      </c>
      <c r="O11" s="91">
        <v>5.4</v>
      </c>
      <c r="P11" s="91">
        <v>3.8</v>
      </c>
      <c r="Q11" s="395">
        <v>6.2</v>
      </c>
      <c r="R11" s="170">
        <f>MAX(F11:Q11)</f>
        <v>20.399999999999999</v>
      </c>
      <c r="S11" s="485">
        <f>MIN(F11:Q11)</f>
        <v>3.8</v>
      </c>
      <c r="T11" s="395">
        <f>AVERAGEA(F11:Q11)</f>
        <v>11.833333333333336</v>
      </c>
      <c r="U11" s="578"/>
      <c r="V11" s="4"/>
    </row>
    <row r="12" spans="2:22" ht="15" customHeight="1" x14ac:dyDescent="0.15">
      <c r="B12" s="584" t="s">
        <v>125</v>
      </c>
      <c r="C12" s="585"/>
      <c r="D12" s="585"/>
      <c r="E12" s="32" t="s">
        <v>64</v>
      </c>
      <c r="F12" s="587" t="s">
        <v>3</v>
      </c>
      <c r="G12" s="585"/>
      <c r="H12" s="585"/>
      <c r="I12" s="585"/>
      <c r="J12" s="585"/>
      <c r="K12" s="585"/>
      <c r="L12" s="585"/>
      <c r="M12" s="585"/>
      <c r="N12" s="585"/>
      <c r="O12" s="585"/>
      <c r="P12" s="585"/>
      <c r="Q12" s="588"/>
      <c r="R12" s="585"/>
      <c r="S12" s="585"/>
      <c r="T12" s="588"/>
      <c r="U12" s="29"/>
      <c r="V12" s="4"/>
    </row>
    <row r="13" spans="2:22" ht="12" customHeight="1" x14ac:dyDescent="0.15">
      <c r="B13" s="19">
        <v>1</v>
      </c>
      <c r="C13" s="592" t="s">
        <v>24</v>
      </c>
      <c r="D13" s="593"/>
      <c r="E13" s="11" t="s">
        <v>105</v>
      </c>
      <c r="F13" s="171">
        <v>14</v>
      </c>
      <c r="G13" s="234">
        <v>73</v>
      </c>
      <c r="H13" s="234">
        <v>290</v>
      </c>
      <c r="I13" s="234">
        <v>130</v>
      </c>
      <c r="J13" s="234">
        <v>270</v>
      </c>
      <c r="K13" s="234">
        <v>62</v>
      </c>
      <c r="L13" s="234">
        <v>160</v>
      </c>
      <c r="M13" s="234">
        <v>53</v>
      </c>
      <c r="N13" s="234">
        <v>42</v>
      </c>
      <c r="O13" s="234">
        <v>29</v>
      </c>
      <c r="P13" s="234">
        <v>22</v>
      </c>
      <c r="Q13" s="392">
        <v>14</v>
      </c>
      <c r="R13" s="308">
        <f>IF(MAX(F13:Q13)=0,0,MAX(F13:Q13))</f>
        <v>290</v>
      </c>
      <c r="S13" s="358">
        <f>IF(MIN(F13:Q13)=0,0,MIN(F13:Q13))</f>
        <v>14</v>
      </c>
      <c r="T13" s="418">
        <f>IF(AVERAGEA(F13:Q13)=0,0,AVERAGEA(F13:Q13))</f>
        <v>96.583333333333329</v>
      </c>
      <c r="U13" s="594" t="s">
        <v>59</v>
      </c>
      <c r="V13" s="2"/>
    </row>
    <row r="14" spans="2:22" ht="12" customHeight="1" x14ac:dyDescent="0.15">
      <c r="B14" s="19">
        <f>B13+1</f>
        <v>2</v>
      </c>
      <c r="C14" s="592" t="s">
        <v>25</v>
      </c>
      <c r="D14" s="593"/>
      <c r="E14" s="15" t="s">
        <v>114</v>
      </c>
      <c r="F14" s="172" t="s">
        <v>303</v>
      </c>
      <c r="G14" s="172" t="s">
        <v>516</v>
      </c>
      <c r="H14" s="172" t="s">
        <v>526</v>
      </c>
      <c r="I14" s="172" t="s">
        <v>535</v>
      </c>
      <c r="J14" s="172" t="s">
        <v>511</v>
      </c>
      <c r="K14" s="172" t="s">
        <v>303</v>
      </c>
      <c r="L14" s="363" t="s">
        <v>511</v>
      </c>
      <c r="M14" s="380" t="s">
        <v>600</v>
      </c>
      <c r="N14" s="441" t="s">
        <v>558</v>
      </c>
      <c r="O14" s="447" t="s">
        <v>559</v>
      </c>
      <c r="P14" s="478" t="s">
        <v>517</v>
      </c>
      <c r="Q14" s="484" t="s">
        <v>517</v>
      </c>
      <c r="R14" s="489"/>
      <c r="S14" s="482"/>
      <c r="T14" s="484"/>
      <c r="U14" s="578"/>
      <c r="V14" s="2"/>
    </row>
    <row r="15" spans="2:22" ht="12" customHeight="1" x14ac:dyDescent="0.15">
      <c r="B15" s="19">
        <f t="shared" ref="B15:B63" si="0">B14+1</f>
        <v>3</v>
      </c>
      <c r="C15" s="592" t="s">
        <v>26</v>
      </c>
      <c r="D15" s="593"/>
      <c r="E15" s="11" t="s">
        <v>209</v>
      </c>
      <c r="F15" s="173" t="s">
        <v>304</v>
      </c>
      <c r="G15" s="179"/>
      <c r="H15" s="265"/>
      <c r="I15" s="179" t="s">
        <v>304</v>
      </c>
      <c r="J15" s="179"/>
      <c r="K15" s="179"/>
      <c r="L15" s="179" t="s">
        <v>304</v>
      </c>
      <c r="M15" s="179"/>
      <c r="N15" s="179"/>
      <c r="O15" s="179" t="s">
        <v>304</v>
      </c>
      <c r="P15" s="179"/>
      <c r="Q15" s="393"/>
      <c r="R15" s="239" t="str">
        <f>IF(MAXA(F15:Q15)&lt;0.0003,"&lt;0.0003",MAXA(F15:Q15))</f>
        <v>&lt;0.0003</v>
      </c>
      <c r="S15" s="179" t="str">
        <f>IF(MINA(F15:Q15)&lt;0.0003,"&lt;0.0003",MINA(F15:Q15))</f>
        <v>&lt;0.0003</v>
      </c>
      <c r="T15" s="393" t="str">
        <f>IF(AVERAGEA(F15:Q15)&lt;0.0003,"&lt;0.0003",AVERAGEA(F15:Q15))</f>
        <v>&lt;0.0003</v>
      </c>
      <c r="U15" s="595" t="s">
        <v>60</v>
      </c>
      <c r="V15" s="2"/>
    </row>
    <row r="16" spans="2:22" ht="12" customHeight="1" x14ac:dyDescent="0.15">
      <c r="B16" s="19">
        <f t="shared" si="0"/>
        <v>4</v>
      </c>
      <c r="C16" s="592" t="s">
        <v>27</v>
      </c>
      <c r="D16" s="593"/>
      <c r="E16" s="11" t="s">
        <v>106</v>
      </c>
      <c r="F16" s="174" t="s">
        <v>305</v>
      </c>
      <c r="G16" s="235"/>
      <c r="H16" s="266"/>
      <c r="I16" s="235" t="s">
        <v>305</v>
      </c>
      <c r="J16" s="235"/>
      <c r="K16" s="235"/>
      <c r="L16" s="235" t="s">
        <v>305</v>
      </c>
      <c r="M16" s="235"/>
      <c r="N16" s="235"/>
      <c r="O16" s="235" t="s">
        <v>305</v>
      </c>
      <c r="P16" s="235"/>
      <c r="Q16" s="394"/>
      <c r="R16" s="276" t="str">
        <f>IF(MAXA(F16:Q16)&lt;0.00005,"&lt;0.00005",MAXA(F16:Q16))</f>
        <v>&lt;0.00005</v>
      </c>
      <c r="S16" s="235" t="str">
        <f>IF(MINA(F16:Q16)&lt;0.00005,"&lt;0.00005",MINA(F16:Q16))</f>
        <v>&lt;0.00005</v>
      </c>
      <c r="T16" s="394" t="str">
        <f>IF(AVERAGEA(F16:Q16)&lt;0.00005,"&lt;0.00005",AVERAGEA(F16:Q16))</f>
        <v>&lt;0.00005</v>
      </c>
      <c r="U16" s="595"/>
      <c r="V16" s="2"/>
    </row>
    <row r="17" spans="2:22" ht="12" customHeight="1" x14ac:dyDescent="0.15">
      <c r="B17" s="19">
        <f t="shared" si="0"/>
        <v>5</v>
      </c>
      <c r="C17" s="592" t="s">
        <v>28</v>
      </c>
      <c r="D17" s="593"/>
      <c r="E17" s="11" t="s">
        <v>93</v>
      </c>
      <c r="F17" s="173" t="s">
        <v>306</v>
      </c>
      <c r="G17" s="179"/>
      <c r="H17" s="265"/>
      <c r="I17" s="179" t="s">
        <v>306</v>
      </c>
      <c r="J17" s="179"/>
      <c r="K17" s="179"/>
      <c r="L17" s="179" t="s">
        <v>306</v>
      </c>
      <c r="M17" s="179"/>
      <c r="N17" s="179"/>
      <c r="O17" s="179" t="s">
        <v>306</v>
      </c>
      <c r="P17" s="179"/>
      <c r="Q17" s="393"/>
      <c r="R17" s="239" t="str">
        <f t="shared" ref="R17:R22" si="1">IF(MAXA(F17:Q17)&lt;0.001,"&lt;0.001",MAXA(F17:Q17))</f>
        <v>&lt;0.001</v>
      </c>
      <c r="S17" s="179" t="str">
        <f t="shared" ref="S17:S22" si="2">IF(MINA(F17:Q17)&lt;0.001,"&lt;0.001",MINA(F17:Q17))</f>
        <v>&lt;0.001</v>
      </c>
      <c r="T17" s="393" t="str">
        <f>IF(AVERAGEA(F17:Q17)&lt;0.001,"&lt;0.001",AVERAGEA(F17:Q17))</f>
        <v>&lt;0.001</v>
      </c>
      <c r="U17" s="595"/>
      <c r="V17" s="2"/>
    </row>
    <row r="18" spans="2:22" ht="12" customHeight="1" x14ac:dyDescent="0.15">
      <c r="B18" s="19">
        <f t="shared" si="0"/>
        <v>6</v>
      </c>
      <c r="C18" s="592" t="s">
        <v>29</v>
      </c>
      <c r="D18" s="593"/>
      <c r="E18" s="11" t="s">
        <v>93</v>
      </c>
      <c r="F18" s="173" t="s">
        <v>306</v>
      </c>
      <c r="G18" s="179"/>
      <c r="H18" s="265"/>
      <c r="I18" s="179" t="s">
        <v>306</v>
      </c>
      <c r="J18" s="179"/>
      <c r="K18" s="179"/>
      <c r="L18" s="179" t="s">
        <v>306</v>
      </c>
      <c r="M18" s="179"/>
      <c r="N18" s="179"/>
      <c r="O18" s="179" t="s">
        <v>306</v>
      </c>
      <c r="P18" s="179"/>
      <c r="Q18" s="393"/>
      <c r="R18" s="239" t="str">
        <f t="shared" si="1"/>
        <v>&lt;0.001</v>
      </c>
      <c r="S18" s="179" t="str">
        <f t="shared" si="2"/>
        <v>&lt;0.001</v>
      </c>
      <c r="T18" s="393" t="str">
        <f>IF(AVERAGEA(F18:Q18)&lt;0.001,"&lt;0.001",AVERAGEA(F18:Q18))</f>
        <v>&lt;0.001</v>
      </c>
      <c r="U18" s="595"/>
      <c r="V18" s="2"/>
    </row>
    <row r="19" spans="2:22" ht="12" customHeight="1" x14ac:dyDescent="0.15">
      <c r="B19" s="19">
        <f t="shared" si="0"/>
        <v>7</v>
      </c>
      <c r="C19" s="592" t="s">
        <v>30</v>
      </c>
      <c r="D19" s="593"/>
      <c r="E19" s="11" t="s">
        <v>93</v>
      </c>
      <c r="F19" s="173" t="s">
        <v>306</v>
      </c>
      <c r="G19" s="179"/>
      <c r="H19" s="265"/>
      <c r="I19" s="179" t="s">
        <v>306</v>
      </c>
      <c r="J19" s="179"/>
      <c r="K19" s="179"/>
      <c r="L19" s="179" t="s">
        <v>306</v>
      </c>
      <c r="M19" s="179"/>
      <c r="N19" s="179"/>
      <c r="O19" s="179" t="s">
        <v>306</v>
      </c>
      <c r="P19" s="179"/>
      <c r="Q19" s="393"/>
      <c r="R19" s="239" t="str">
        <f t="shared" si="1"/>
        <v>&lt;0.001</v>
      </c>
      <c r="S19" s="179" t="str">
        <f t="shared" si="2"/>
        <v>&lt;0.001</v>
      </c>
      <c r="T19" s="393" t="str">
        <f>IF(AVERAGEA(F19:Q19)&lt;0.001,"&lt;0.001",AVERAGEA(F19:Q19))</f>
        <v>&lt;0.001</v>
      </c>
      <c r="U19" s="595"/>
      <c r="V19" s="2"/>
    </row>
    <row r="20" spans="2:22" ht="12" customHeight="1" x14ac:dyDescent="0.15">
      <c r="B20" s="19">
        <f t="shared" si="0"/>
        <v>8</v>
      </c>
      <c r="C20" s="592" t="s">
        <v>31</v>
      </c>
      <c r="D20" s="593"/>
      <c r="E20" s="11" t="s">
        <v>96</v>
      </c>
      <c r="F20" s="173" t="s">
        <v>307</v>
      </c>
      <c r="G20" s="179"/>
      <c r="H20" s="265"/>
      <c r="I20" s="179" t="s">
        <v>307</v>
      </c>
      <c r="J20" s="179"/>
      <c r="K20" s="179"/>
      <c r="L20" s="179" t="s">
        <v>307</v>
      </c>
      <c r="M20" s="179"/>
      <c r="N20" s="179"/>
      <c r="O20" s="179" t="s">
        <v>307</v>
      </c>
      <c r="P20" s="179"/>
      <c r="Q20" s="393"/>
      <c r="R20" s="239" t="str">
        <f>IF(MAXA(F20:Q20)&lt;0.002,"&lt;0.002",MAXA(F20:Q20))</f>
        <v>&lt;0.002</v>
      </c>
      <c r="S20" s="179" t="str">
        <f>IF(MINA(F20:Q20)&lt;0.002,"&lt;0.002",MINA(F20:Q20))</f>
        <v>&lt;0.002</v>
      </c>
      <c r="T20" s="393" t="str">
        <f>IF(AVERAGEA(F20:Q20)&lt;0.002,"&lt;0.002",AVERAGEA(F20:Q20))</f>
        <v>&lt;0.002</v>
      </c>
      <c r="U20" s="595"/>
      <c r="V20" s="2"/>
    </row>
    <row r="21" spans="2:22" ht="12" customHeight="1" x14ac:dyDescent="0.15">
      <c r="B21" s="19">
        <f t="shared" si="0"/>
        <v>9</v>
      </c>
      <c r="C21" s="592" t="s">
        <v>210</v>
      </c>
      <c r="D21" s="611"/>
      <c r="E21" s="11" t="s">
        <v>269</v>
      </c>
      <c r="F21" s="175" t="s">
        <v>308</v>
      </c>
      <c r="G21" s="179" t="s">
        <v>308</v>
      </c>
      <c r="H21" s="179" t="s">
        <v>308</v>
      </c>
      <c r="I21" s="179">
        <v>8.0000000000000002E-3</v>
      </c>
      <c r="J21" s="179" t="s">
        <v>308</v>
      </c>
      <c r="K21" s="179" t="s">
        <v>308</v>
      </c>
      <c r="L21" s="179" t="s">
        <v>308</v>
      </c>
      <c r="M21" s="179">
        <v>0.02</v>
      </c>
      <c r="N21" s="179" t="s">
        <v>308</v>
      </c>
      <c r="O21" s="179" t="s">
        <v>609</v>
      </c>
      <c r="P21" s="179" t="s">
        <v>308</v>
      </c>
      <c r="Q21" s="393" t="s">
        <v>308</v>
      </c>
      <c r="R21" s="239">
        <f>IF(MAXA(F21:Q21)&lt;0.004,"&lt;0.004",MAXA(F21:Q21))</f>
        <v>0.02</v>
      </c>
      <c r="S21" s="179" t="str">
        <f>IF(MINA(F21:Q21)&lt;0.004,"&lt;0.004",MINA(F21:Q21))</f>
        <v>&lt;0.004</v>
      </c>
      <c r="T21" s="393" t="str">
        <f>IF(AVERAGEA(F21:Q21)&lt;0.004,"&lt;0.004",AVERAGEA(F21:Q21))</f>
        <v>&lt;0.004</v>
      </c>
      <c r="U21" s="594" t="s">
        <v>498</v>
      </c>
      <c r="V21" s="2"/>
    </row>
    <row r="22" spans="2:22" ht="12" customHeight="1" x14ac:dyDescent="0.15">
      <c r="B22" s="19">
        <f t="shared" si="0"/>
        <v>10</v>
      </c>
      <c r="C22" s="592" t="s">
        <v>32</v>
      </c>
      <c r="D22" s="593"/>
      <c r="E22" s="11" t="s">
        <v>93</v>
      </c>
      <c r="F22" s="175" t="s">
        <v>306</v>
      </c>
      <c r="G22" s="179" t="s">
        <v>306</v>
      </c>
      <c r="H22" s="179" t="s">
        <v>306</v>
      </c>
      <c r="I22" s="179" t="s">
        <v>306</v>
      </c>
      <c r="J22" s="179" t="s">
        <v>306</v>
      </c>
      <c r="K22" s="179" t="s">
        <v>547</v>
      </c>
      <c r="L22" s="179" t="s">
        <v>306</v>
      </c>
      <c r="M22" s="179" t="s">
        <v>306</v>
      </c>
      <c r="N22" s="179" t="s">
        <v>306</v>
      </c>
      <c r="O22" s="179" t="s">
        <v>306</v>
      </c>
      <c r="P22" s="179" t="s">
        <v>306</v>
      </c>
      <c r="Q22" s="393" t="s">
        <v>306</v>
      </c>
      <c r="R22" s="239" t="str">
        <f t="shared" si="1"/>
        <v>&lt;0.001</v>
      </c>
      <c r="S22" s="179" t="str">
        <f t="shared" si="2"/>
        <v>&lt;0.001</v>
      </c>
      <c r="T22" s="393" t="str">
        <f>IF(AVERAGEA(F22:Q22)&lt;0.001,"&lt;0.001",AVERAGEA(F22:Q22))</f>
        <v>&lt;0.001</v>
      </c>
      <c r="U22" s="578"/>
      <c r="V22" s="2"/>
    </row>
    <row r="23" spans="2:22" ht="12" customHeight="1" x14ac:dyDescent="0.15">
      <c r="B23" s="19">
        <f t="shared" si="0"/>
        <v>11</v>
      </c>
      <c r="C23" s="592" t="s">
        <v>33</v>
      </c>
      <c r="D23" s="593"/>
      <c r="E23" s="11" t="s">
        <v>108</v>
      </c>
      <c r="F23" s="170">
        <v>0.2</v>
      </c>
      <c r="G23" s="236">
        <v>0.1</v>
      </c>
      <c r="H23" s="236">
        <v>0.2</v>
      </c>
      <c r="I23" s="91">
        <v>0.2</v>
      </c>
      <c r="J23" s="91">
        <v>0.1</v>
      </c>
      <c r="K23" s="91">
        <v>0.1</v>
      </c>
      <c r="L23" s="91">
        <v>0.4</v>
      </c>
      <c r="M23" s="407">
        <v>0.3</v>
      </c>
      <c r="N23" s="91">
        <v>0.2</v>
      </c>
      <c r="O23" s="91">
        <v>0.2</v>
      </c>
      <c r="P23" s="91">
        <v>0.2</v>
      </c>
      <c r="Q23" s="395">
        <v>0.2</v>
      </c>
      <c r="R23" s="486">
        <f>IF(MAXA(F23:Q23)&lt;0.1,"&lt;0.1",MAXA(F23:Q23))</f>
        <v>0.4</v>
      </c>
      <c r="S23" s="91">
        <f>IF(MINA(F23:Q23)&lt;0.1,"&lt;0.1",MINA(F23:Q23))</f>
        <v>0.1</v>
      </c>
      <c r="T23" s="395">
        <f>IF(AVERAGEA(F23:Q23)&lt;0.1,"&lt;0.1",AVERAGEA(F23:Q23))</f>
        <v>0.19999999999999998</v>
      </c>
      <c r="U23" s="578"/>
      <c r="V23" s="2"/>
    </row>
    <row r="24" spans="2:22" ht="12" customHeight="1" x14ac:dyDescent="0.15">
      <c r="B24" s="19">
        <f t="shared" si="0"/>
        <v>12</v>
      </c>
      <c r="C24" s="592" t="s">
        <v>34</v>
      </c>
      <c r="D24" s="593"/>
      <c r="E24" s="11" t="s">
        <v>109</v>
      </c>
      <c r="F24" s="173" t="s">
        <v>309</v>
      </c>
      <c r="G24" s="178"/>
      <c r="H24" s="268"/>
      <c r="I24" s="179" t="s">
        <v>309</v>
      </c>
      <c r="J24" s="178"/>
      <c r="K24" s="178"/>
      <c r="L24" s="179" t="s">
        <v>309</v>
      </c>
      <c r="M24" s="178"/>
      <c r="N24" s="178"/>
      <c r="O24" s="179" t="s">
        <v>309</v>
      </c>
      <c r="P24" s="178"/>
      <c r="Q24" s="396"/>
      <c r="R24" s="178" t="str">
        <f>IF(MAXA(F24:Q24)&lt;0.08,"&lt;0.08",MAXA(F24:Q24))</f>
        <v>&lt;0.08</v>
      </c>
      <c r="S24" s="178" t="str">
        <f>IF(MINA(F24:Q24)&lt;0.08,"&lt;0.08",MINA(F24:Q24))</f>
        <v>&lt;0.08</v>
      </c>
      <c r="T24" s="396" t="str">
        <f>IF(AVERAGEA(F24:Q24)&lt;0.08,"&lt;0.08",AVERAGEA(F24:Q24))</f>
        <v>&lt;0.08</v>
      </c>
      <c r="U24" s="578"/>
      <c r="V24" s="2"/>
    </row>
    <row r="25" spans="2:22" ht="12" customHeight="1" x14ac:dyDescent="0.15">
      <c r="B25" s="19">
        <f t="shared" si="0"/>
        <v>13</v>
      </c>
      <c r="C25" s="592" t="s">
        <v>35</v>
      </c>
      <c r="D25" s="593"/>
      <c r="E25" s="11" t="s">
        <v>110</v>
      </c>
      <c r="F25" s="170" t="s">
        <v>310</v>
      </c>
      <c r="G25" s="91"/>
      <c r="H25" s="269"/>
      <c r="I25" s="91" t="s">
        <v>310</v>
      </c>
      <c r="J25" s="91"/>
      <c r="K25" s="91"/>
      <c r="L25" s="91" t="s">
        <v>310</v>
      </c>
      <c r="M25" s="91"/>
      <c r="N25" s="91"/>
      <c r="O25" s="91" t="s">
        <v>310</v>
      </c>
      <c r="P25" s="91"/>
      <c r="Q25" s="395"/>
      <c r="R25" s="91" t="str">
        <f>IF(MAXA(F25:Q25)&lt;0.1,"&lt;0.1",MAXA(F25:Q25))</f>
        <v>&lt;0.1</v>
      </c>
      <c r="S25" s="91" t="str">
        <f>IF(MINA(F25:Q25)&lt;0.1,"&lt;0.1",MINA(F25:Q25))</f>
        <v>&lt;0.1</v>
      </c>
      <c r="T25" s="395" t="str">
        <f>IF(AVERAGEA(F25:Q25)&lt;0.1,"&lt;0.1",AVERAGEA(F25:Q25))</f>
        <v>&lt;0.1</v>
      </c>
      <c r="U25" s="596"/>
      <c r="V25" s="2"/>
    </row>
    <row r="26" spans="2:22" ht="12" customHeight="1" x14ac:dyDescent="0.15">
      <c r="B26" s="19">
        <f t="shared" si="0"/>
        <v>14</v>
      </c>
      <c r="C26" s="592" t="s">
        <v>36</v>
      </c>
      <c r="D26" s="593"/>
      <c r="E26" s="11" t="s">
        <v>111</v>
      </c>
      <c r="F26" s="176" t="s">
        <v>311</v>
      </c>
      <c r="G26" s="237"/>
      <c r="H26" s="270"/>
      <c r="I26" s="237" t="s">
        <v>311</v>
      </c>
      <c r="J26" s="237"/>
      <c r="K26" s="237"/>
      <c r="L26" s="237" t="s">
        <v>311</v>
      </c>
      <c r="M26" s="237"/>
      <c r="N26" s="237"/>
      <c r="O26" s="237" t="s">
        <v>311</v>
      </c>
      <c r="P26" s="237"/>
      <c r="Q26" s="397"/>
      <c r="R26" s="237" t="str">
        <f>IF(MAXA(F26:Q26)&lt;0.0002,"&lt;0.0002",MAXA(F26:Q26))</f>
        <v>&lt;0.0002</v>
      </c>
      <c r="S26" s="237" t="str">
        <f>IF(MINA(F26:Q26)&lt;0.0002,"&lt;0.0002",MINA(F26:Q26))</f>
        <v>&lt;0.0002</v>
      </c>
      <c r="T26" s="397" t="str">
        <f>IF(AVERAGEA(F26:Q26)&lt;0.0002,"&lt;0.0002",AVERAGEA(F26:Q26))</f>
        <v>&lt;0.0002</v>
      </c>
      <c r="U26" s="595" t="s">
        <v>62</v>
      </c>
      <c r="V26" s="2"/>
    </row>
    <row r="27" spans="2:22" ht="12" customHeight="1" x14ac:dyDescent="0.15">
      <c r="B27" s="19">
        <f t="shared" si="0"/>
        <v>15</v>
      </c>
      <c r="C27" s="592" t="s">
        <v>136</v>
      </c>
      <c r="D27" s="593"/>
      <c r="E27" s="11" t="s">
        <v>107</v>
      </c>
      <c r="F27" s="173" t="s">
        <v>312</v>
      </c>
      <c r="G27" s="179"/>
      <c r="H27" s="265"/>
      <c r="I27" s="179" t="s">
        <v>312</v>
      </c>
      <c r="J27" s="179"/>
      <c r="K27" s="179"/>
      <c r="L27" s="179" t="s">
        <v>312</v>
      </c>
      <c r="M27" s="179"/>
      <c r="N27" s="179"/>
      <c r="O27" s="179" t="s">
        <v>312</v>
      </c>
      <c r="P27" s="179"/>
      <c r="Q27" s="393"/>
      <c r="R27" s="239" t="str">
        <f>IF(MAXA(F27:Q27)&lt;0.005,"&lt;0.005",MAXA(F27:Q27))</f>
        <v>&lt;0.005</v>
      </c>
      <c r="S27" s="179" t="str">
        <f>IF(MINA(F27:Q27)&lt;0.005,"&lt;0.005",MINA(F27:Q27))</f>
        <v>&lt;0.005</v>
      </c>
      <c r="T27" s="393" t="str">
        <f>IF(AVERAGEA(F27:Q27)&lt;0.005,"&lt;0.005",AVERAGEA(F27:Q27))</f>
        <v>&lt;0.005</v>
      </c>
      <c r="U27" s="595"/>
      <c r="V27" s="2"/>
    </row>
    <row r="28" spans="2:22" ht="24" customHeight="1" x14ac:dyDescent="0.15">
      <c r="B28" s="19">
        <f>B27+1</f>
        <v>16</v>
      </c>
      <c r="C28" s="597" t="s">
        <v>256</v>
      </c>
      <c r="D28" s="593"/>
      <c r="E28" s="11" t="s">
        <v>88</v>
      </c>
      <c r="F28" s="173" t="s">
        <v>307</v>
      </c>
      <c r="G28" s="179"/>
      <c r="H28" s="265"/>
      <c r="I28" s="179" t="s">
        <v>307</v>
      </c>
      <c r="J28" s="179"/>
      <c r="K28" s="179"/>
      <c r="L28" s="179" t="s">
        <v>307</v>
      </c>
      <c r="M28" s="179"/>
      <c r="N28" s="179"/>
      <c r="O28" s="179" t="s">
        <v>307</v>
      </c>
      <c r="P28" s="179"/>
      <c r="Q28" s="393"/>
      <c r="R28" s="179" t="str">
        <f>IF(MAXA(F28:Q28)&lt;0.002,"&lt;0.002",MAXA(F28:Q28))</f>
        <v>&lt;0.002</v>
      </c>
      <c r="S28" s="179" t="str">
        <f>IF(MINA(F28:Q28)&lt;0.002,"&lt;0.002",MINA(F28:Q28))</f>
        <v>&lt;0.002</v>
      </c>
      <c r="T28" s="393" t="str">
        <f>IF(AVERAGEA(F28:Q28)&lt;0.002,"&lt;0.002",AVERAGEA(F28:Q28))</f>
        <v>&lt;0.002</v>
      </c>
      <c r="U28" s="595"/>
      <c r="V28" s="2"/>
    </row>
    <row r="29" spans="2:22" ht="12" customHeight="1" x14ac:dyDescent="0.15">
      <c r="B29" s="19">
        <f t="shared" si="0"/>
        <v>17</v>
      </c>
      <c r="C29" s="592" t="s">
        <v>137</v>
      </c>
      <c r="D29" s="593"/>
      <c r="E29" s="11" t="s">
        <v>96</v>
      </c>
      <c r="F29" s="173" t="s">
        <v>306</v>
      </c>
      <c r="G29" s="179"/>
      <c r="H29" s="265"/>
      <c r="I29" s="179" t="s">
        <v>306</v>
      </c>
      <c r="J29" s="179"/>
      <c r="K29" s="179"/>
      <c r="L29" s="179" t="s">
        <v>306</v>
      </c>
      <c r="M29" s="179"/>
      <c r="N29" s="179"/>
      <c r="O29" s="179" t="s">
        <v>306</v>
      </c>
      <c r="P29" s="179"/>
      <c r="Q29" s="393"/>
      <c r="R29" s="179" t="str">
        <f>IF(MAXA(F29:Q29)&lt;0.001,"&lt;0.001",MAXA(F29:Q29))</f>
        <v>&lt;0.001</v>
      </c>
      <c r="S29" s="179" t="str">
        <f>IF(MINA(F29:Q29)&lt;0.001,"&lt;0.001",MINA(F29:Q29))</f>
        <v>&lt;0.001</v>
      </c>
      <c r="T29" s="393" t="str">
        <f>IF(AVERAGEA(F29:Q29)&lt;0.001,"&lt;0.001",AVERAGEA(F29:Q29))</f>
        <v>&lt;0.001</v>
      </c>
      <c r="U29" s="595"/>
      <c r="V29" s="2"/>
    </row>
    <row r="30" spans="2:22" ht="12" customHeight="1" x14ac:dyDescent="0.15">
      <c r="B30" s="19">
        <f t="shared" si="0"/>
        <v>18</v>
      </c>
      <c r="C30" s="592" t="s">
        <v>138</v>
      </c>
      <c r="D30" s="593"/>
      <c r="E30" s="11" t="s">
        <v>93</v>
      </c>
      <c r="F30" s="173" t="s">
        <v>306</v>
      </c>
      <c r="G30" s="179"/>
      <c r="H30" s="265"/>
      <c r="I30" s="179" t="s">
        <v>306</v>
      </c>
      <c r="J30" s="179"/>
      <c r="K30" s="179"/>
      <c r="L30" s="179" t="s">
        <v>306</v>
      </c>
      <c r="M30" s="179"/>
      <c r="N30" s="179"/>
      <c r="O30" s="179" t="s">
        <v>306</v>
      </c>
      <c r="P30" s="179"/>
      <c r="Q30" s="393"/>
      <c r="R30" s="179" t="str">
        <f>IF(MAXA(F30:Q30)&lt;0.001,"&lt;0.001",MAXA(F30:Q30))</f>
        <v>&lt;0.001</v>
      </c>
      <c r="S30" s="179" t="str">
        <f>IF(MINA(F30:Q30)&lt;0.001,"&lt;0.001",MINA(F30:Q30))</f>
        <v>&lt;0.001</v>
      </c>
      <c r="T30" s="393" t="str">
        <f>IF(AVERAGEA(F30:Q30)&lt;0.001,"&lt;0.001",AVERAGEA(F30:Q30))</f>
        <v>&lt;0.001</v>
      </c>
      <c r="U30" s="595"/>
      <c r="V30" s="2"/>
    </row>
    <row r="31" spans="2:22" ht="12" customHeight="1" x14ac:dyDescent="0.15">
      <c r="B31" s="19">
        <f t="shared" si="0"/>
        <v>19</v>
      </c>
      <c r="C31" s="592" t="s">
        <v>139</v>
      </c>
      <c r="D31" s="593"/>
      <c r="E31" s="11" t="s">
        <v>93</v>
      </c>
      <c r="F31" s="173" t="s">
        <v>306</v>
      </c>
      <c r="G31" s="179"/>
      <c r="H31" s="265"/>
      <c r="I31" s="179" t="s">
        <v>306</v>
      </c>
      <c r="J31" s="179"/>
      <c r="K31" s="179"/>
      <c r="L31" s="179" t="s">
        <v>306</v>
      </c>
      <c r="M31" s="179"/>
      <c r="N31" s="179"/>
      <c r="O31" s="179" t="s">
        <v>306</v>
      </c>
      <c r="P31" s="179"/>
      <c r="Q31" s="393"/>
      <c r="R31" s="179" t="str">
        <f>IF(MAXA(F31:Q31)&lt;0.001,"&lt;0.001",MAXA(F31:Q31))</f>
        <v>&lt;0.001</v>
      </c>
      <c r="S31" s="179" t="str">
        <f>IF(MINA(F31:Q31)&lt;0.001,"&lt;0.001",MINA(F31:Q31))</f>
        <v>&lt;0.001</v>
      </c>
      <c r="T31" s="393" t="str">
        <f>IF(AVERAGEA(F31:Q31)&lt;0.001,"&lt;0.001",AVERAGEA(F31:Q31))</f>
        <v>&lt;0.001</v>
      </c>
      <c r="U31" s="595"/>
      <c r="V31" s="2"/>
    </row>
    <row r="32" spans="2:22" ht="12" customHeight="1" x14ac:dyDescent="0.15">
      <c r="B32" s="19">
        <f t="shared" si="0"/>
        <v>20</v>
      </c>
      <c r="C32" s="592" t="s">
        <v>140</v>
      </c>
      <c r="D32" s="593"/>
      <c r="E32" s="11" t="s">
        <v>93</v>
      </c>
      <c r="F32" s="173" t="s">
        <v>306</v>
      </c>
      <c r="G32" s="179"/>
      <c r="H32" s="265"/>
      <c r="I32" s="179" t="s">
        <v>306</v>
      </c>
      <c r="J32" s="179"/>
      <c r="K32" s="179"/>
      <c r="L32" s="179" t="s">
        <v>306</v>
      </c>
      <c r="M32" s="179"/>
      <c r="N32" s="179"/>
      <c r="O32" s="179" t="s">
        <v>306</v>
      </c>
      <c r="P32" s="179"/>
      <c r="Q32" s="393"/>
      <c r="R32" s="179" t="str">
        <f>IF(MAXA(F32:Q32)&lt;0.001,"&lt;0.001",MAXA(F32:Q32))</f>
        <v>&lt;0.001</v>
      </c>
      <c r="S32" s="179" t="str">
        <f>IF(MINA(F32:Q32)&lt;0.001,"&lt;0.001",MINA(F32:Q32))</f>
        <v>&lt;0.001</v>
      </c>
      <c r="T32" s="393" t="str">
        <f>IF(AVERAGEA(F32:Q32)&lt;0.001,"&lt;0.001",AVERAGEA(F32:Q32))</f>
        <v>&lt;0.001</v>
      </c>
      <c r="U32" s="595"/>
      <c r="V32" s="2"/>
    </row>
    <row r="33" spans="2:22" ht="12" customHeight="1" x14ac:dyDescent="0.15">
      <c r="B33" s="19">
        <f t="shared" si="0"/>
        <v>21</v>
      </c>
      <c r="C33" s="592" t="s">
        <v>252</v>
      </c>
      <c r="D33" s="593"/>
      <c r="E33" s="11" t="s">
        <v>91</v>
      </c>
      <c r="F33" s="173"/>
      <c r="G33" s="179"/>
      <c r="H33" s="179"/>
      <c r="I33" s="179"/>
      <c r="J33" s="179"/>
      <c r="K33" s="179"/>
      <c r="L33" s="179"/>
      <c r="M33" s="179"/>
      <c r="N33" s="179"/>
      <c r="O33" s="179"/>
      <c r="P33" s="179"/>
      <c r="Q33" s="393"/>
      <c r="R33" s="239"/>
      <c r="S33" s="179"/>
      <c r="T33" s="393"/>
      <c r="U33" s="594" t="s">
        <v>61</v>
      </c>
      <c r="V33" s="2"/>
    </row>
    <row r="34" spans="2:22" ht="12" customHeight="1" x14ac:dyDescent="0.15">
      <c r="B34" s="19">
        <f t="shared" si="0"/>
        <v>22</v>
      </c>
      <c r="C34" s="592" t="s">
        <v>37</v>
      </c>
      <c r="D34" s="593"/>
      <c r="E34" s="11" t="s">
        <v>96</v>
      </c>
      <c r="F34" s="173"/>
      <c r="G34" s="179"/>
      <c r="H34" s="179"/>
      <c r="I34" s="179"/>
      <c r="J34" s="179"/>
      <c r="K34" s="179"/>
      <c r="L34" s="179"/>
      <c r="M34" s="179"/>
      <c r="N34" s="179"/>
      <c r="O34" s="179"/>
      <c r="P34" s="179"/>
      <c r="Q34" s="393"/>
      <c r="R34" s="239"/>
      <c r="S34" s="179"/>
      <c r="T34" s="393"/>
      <c r="U34" s="578"/>
      <c r="V34" s="2"/>
    </row>
    <row r="35" spans="2:22" ht="12" customHeight="1" x14ac:dyDescent="0.15">
      <c r="B35" s="19">
        <f t="shared" si="0"/>
        <v>23</v>
      </c>
      <c r="C35" s="592" t="s">
        <v>141</v>
      </c>
      <c r="D35" s="593"/>
      <c r="E35" s="11" t="s">
        <v>113</v>
      </c>
      <c r="F35" s="173"/>
      <c r="G35" s="179"/>
      <c r="H35" s="179"/>
      <c r="I35" s="179"/>
      <c r="J35" s="179"/>
      <c r="K35" s="179"/>
      <c r="L35" s="179"/>
      <c r="M35" s="179"/>
      <c r="N35" s="179"/>
      <c r="O35" s="179"/>
      <c r="P35" s="179"/>
      <c r="Q35" s="393"/>
      <c r="R35" s="239"/>
      <c r="S35" s="179"/>
      <c r="T35" s="393"/>
      <c r="U35" s="578"/>
      <c r="V35" s="2"/>
    </row>
    <row r="36" spans="2:22" ht="12" customHeight="1" x14ac:dyDescent="0.15">
      <c r="B36" s="19">
        <f t="shared" si="0"/>
        <v>24</v>
      </c>
      <c r="C36" s="592" t="s">
        <v>38</v>
      </c>
      <c r="D36" s="593"/>
      <c r="E36" s="11" t="s">
        <v>112</v>
      </c>
      <c r="F36" s="173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393"/>
      <c r="R36" s="239"/>
      <c r="S36" s="179"/>
      <c r="T36" s="393"/>
      <c r="U36" s="578"/>
      <c r="V36" s="2"/>
    </row>
    <row r="37" spans="2:22" ht="12" customHeight="1" x14ac:dyDescent="0.15">
      <c r="B37" s="19">
        <f t="shared" si="0"/>
        <v>25</v>
      </c>
      <c r="C37" s="592" t="s">
        <v>142</v>
      </c>
      <c r="D37" s="593"/>
      <c r="E37" s="11" t="s">
        <v>90</v>
      </c>
      <c r="F37" s="173"/>
      <c r="G37" s="179"/>
      <c r="H37" s="179"/>
      <c r="I37" s="179"/>
      <c r="J37" s="179"/>
      <c r="K37" s="179"/>
      <c r="L37" s="179"/>
      <c r="M37" s="179"/>
      <c r="N37" s="179"/>
      <c r="O37" s="179"/>
      <c r="P37" s="179"/>
      <c r="Q37" s="393"/>
      <c r="R37" s="179"/>
      <c r="S37" s="179"/>
      <c r="T37" s="393"/>
      <c r="U37" s="578"/>
      <c r="V37" s="2"/>
    </row>
    <row r="38" spans="2:22" ht="12" customHeight="1" x14ac:dyDescent="0.15">
      <c r="B38" s="19">
        <f t="shared" si="0"/>
        <v>26</v>
      </c>
      <c r="C38" s="592" t="s">
        <v>39</v>
      </c>
      <c r="D38" s="593"/>
      <c r="E38" s="11" t="s">
        <v>93</v>
      </c>
      <c r="F38" s="173"/>
      <c r="G38" s="179"/>
      <c r="H38" s="179"/>
      <c r="I38" s="179"/>
      <c r="J38" s="179"/>
      <c r="K38" s="179"/>
      <c r="L38" s="179"/>
      <c r="M38" s="179"/>
      <c r="N38" s="179"/>
      <c r="O38" s="179"/>
      <c r="P38" s="179"/>
      <c r="Q38" s="393"/>
      <c r="R38" s="239"/>
      <c r="S38" s="179"/>
      <c r="T38" s="393"/>
      <c r="U38" s="578"/>
      <c r="V38" s="2"/>
    </row>
    <row r="39" spans="2:22" ht="12" customHeight="1" x14ac:dyDescent="0.15">
      <c r="B39" s="19">
        <f t="shared" si="0"/>
        <v>27</v>
      </c>
      <c r="C39" s="592" t="s">
        <v>40</v>
      </c>
      <c r="D39" s="593"/>
      <c r="E39" s="11" t="s">
        <v>90</v>
      </c>
      <c r="F39" s="173"/>
      <c r="G39" s="179"/>
      <c r="H39" s="179"/>
      <c r="I39" s="179"/>
      <c r="J39" s="179"/>
      <c r="K39" s="179"/>
      <c r="L39" s="179"/>
      <c r="M39" s="179"/>
      <c r="N39" s="179"/>
      <c r="O39" s="179"/>
      <c r="P39" s="179"/>
      <c r="Q39" s="393"/>
      <c r="R39" s="239"/>
      <c r="S39" s="179"/>
      <c r="T39" s="393"/>
      <c r="U39" s="578"/>
      <c r="V39" s="2"/>
    </row>
    <row r="40" spans="2:22" ht="12" customHeight="1" x14ac:dyDescent="0.15">
      <c r="B40" s="19">
        <f t="shared" si="0"/>
        <v>28</v>
      </c>
      <c r="C40" s="592" t="s">
        <v>41</v>
      </c>
      <c r="D40" s="593"/>
      <c r="E40" s="11" t="s">
        <v>112</v>
      </c>
      <c r="F40" s="177"/>
      <c r="G40" s="178"/>
      <c r="H40" s="178"/>
      <c r="I40" s="178"/>
      <c r="J40" s="178"/>
      <c r="K40" s="178"/>
      <c r="L40" s="178"/>
      <c r="M40" s="178"/>
      <c r="N40" s="178"/>
      <c r="O40" s="178"/>
      <c r="P40" s="178"/>
      <c r="Q40" s="396"/>
      <c r="R40" s="178"/>
      <c r="S40" s="178"/>
      <c r="T40" s="396"/>
      <c r="U40" s="578"/>
      <c r="V40" s="2"/>
    </row>
    <row r="41" spans="2:22" ht="12" customHeight="1" x14ac:dyDescent="0.15">
      <c r="B41" s="19">
        <f t="shared" si="0"/>
        <v>29</v>
      </c>
      <c r="C41" s="592" t="s">
        <v>143</v>
      </c>
      <c r="D41" s="593"/>
      <c r="E41" s="11" t="s">
        <v>112</v>
      </c>
      <c r="F41" s="173"/>
      <c r="G41" s="179"/>
      <c r="H41" s="179"/>
      <c r="I41" s="179"/>
      <c r="J41" s="179"/>
      <c r="K41" s="179"/>
      <c r="L41" s="179"/>
      <c r="M41" s="179"/>
      <c r="N41" s="179"/>
      <c r="O41" s="179"/>
      <c r="P41" s="179"/>
      <c r="Q41" s="393"/>
      <c r="R41" s="239"/>
      <c r="S41" s="179"/>
      <c r="T41" s="393"/>
      <c r="U41" s="578"/>
      <c r="V41" s="2"/>
    </row>
    <row r="42" spans="2:22" ht="12" customHeight="1" x14ac:dyDescent="0.15">
      <c r="B42" s="19">
        <f t="shared" si="0"/>
        <v>30</v>
      </c>
      <c r="C42" s="592" t="s">
        <v>144</v>
      </c>
      <c r="D42" s="593"/>
      <c r="E42" s="11" t="s">
        <v>115</v>
      </c>
      <c r="F42" s="173"/>
      <c r="G42" s="179"/>
      <c r="H42" s="179"/>
      <c r="I42" s="179"/>
      <c r="J42" s="179"/>
      <c r="K42" s="179"/>
      <c r="L42" s="179"/>
      <c r="M42" s="179"/>
      <c r="N42" s="179"/>
      <c r="O42" s="179"/>
      <c r="P42" s="179"/>
      <c r="Q42" s="393"/>
      <c r="R42" s="239"/>
      <c r="S42" s="179"/>
      <c r="T42" s="393"/>
      <c r="U42" s="578"/>
      <c r="V42" s="2"/>
    </row>
    <row r="43" spans="2:22" ht="12" customHeight="1" x14ac:dyDescent="0.15">
      <c r="B43" s="19">
        <f t="shared" si="0"/>
        <v>31</v>
      </c>
      <c r="C43" s="592" t="s">
        <v>145</v>
      </c>
      <c r="D43" s="593"/>
      <c r="E43" s="11" t="s">
        <v>116</v>
      </c>
      <c r="F43" s="173"/>
      <c r="G43" s="179"/>
      <c r="H43" s="179"/>
      <c r="I43" s="179"/>
      <c r="J43" s="179"/>
      <c r="K43" s="179"/>
      <c r="L43" s="179"/>
      <c r="M43" s="179"/>
      <c r="N43" s="179"/>
      <c r="O43" s="179"/>
      <c r="P43" s="179"/>
      <c r="Q43" s="393"/>
      <c r="R43" s="239"/>
      <c r="S43" s="179"/>
      <c r="T43" s="393"/>
      <c r="U43" s="596"/>
      <c r="V43" s="2"/>
    </row>
    <row r="44" spans="2:22" ht="12" customHeight="1" x14ac:dyDescent="0.15">
      <c r="B44" s="19">
        <f t="shared" si="0"/>
        <v>32</v>
      </c>
      <c r="C44" s="592" t="s">
        <v>42</v>
      </c>
      <c r="D44" s="593"/>
      <c r="E44" s="11" t="s">
        <v>110</v>
      </c>
      <c r="F44" s="178" t="s">
        <v>313</v>
      </c>
      <c r="G44" s="178"/>
      <c r="H44" s="178"/>
      <c r="I44" s="179" t="s">
        <v>313</v>
      </c>
      <c r="J44" s="178"/>
      <c r="K44" s="178"/>
      <c r="L44" s="179" t="s">
        <v>313</v>
      </c>
      <c r="M44" s="178"/>
      <c r="N44" s="178"/>
      <c r="O44" s="179" t="s">
        <v>313</v>
      </c>
      <c r="P44" s="178"/>
      <c r="Q44" s="396"/>
      <c r="R44" s="179" t="str">
        <f>IF(MAXA(F44:Q44)&lt;0.01,"&lt;0.01",MAXA(F44:Q44))</f>
        <v>&lt;0.01</v>
      </c>
      <c r="S44" s="178" t="str">
        <f>IF(MINA(F44:Q44)&lt;0.01,"&lt;0.01",MINA(F44:Q44))</f>
        <v>&lt;0.01</v>
      </c>
      <c r="T44" s="393" t="str">
        <f>IF(AVERAGEA(F44:Q44)&lt;0.01,"&lt;0.01",AVERAGEA(F44:Q44))</f>
        <v>&lt;0.01</v>
      </c>
      <c r="U44" s="594" t="s">
        <v>60</v>
      </c>
      <c r="V44" s="2"/>
    </row>
    <row r="45" spans="2:22" ht="12" customHeight="1" x14ac:dyDescent="0.15">
      <c r="B45" s="19">
        <f t="shared" si="0"/>
        <v>33</v>
      </c>
      <c r="C45" s="592" t="s">
        <v>43</v>
      </c>
      <c r="D45" s="593"/>
      <c r="E45" s="11" t="s">
        <v>89</v>
      </c>
      <c r="F45" s="177">
        <v>0.4</v>
      </c>
      <c r="G45" s="178"/>
      <c r="H45" s="178"/>
      <c r="I45" s="178">
        <v>0.21</v>
      </c>
      <c r="J45" s="178"/>
      <c r="K45" s="178"/>
      <c r="L45" s="178">
        <v>0.38</v>
      </c>
      <c r="M45" s="178"/>
      <c r="N45" s="178"/>
      <c r="O45" s="178">
        <v>0.21</v>
      </c>
      <c r="P45" s="178"/>
      <c r="Q45" s="396"/>
      <c r="R45" s="178">
        <f>IF(MAXA(F45:Q45)&lt;0.001,"&lt;0.001",MAXA(F45:Q45))</f>
        <v>0.4</v>
      </c>
      <c r="S45" s="178">
        <f>IF(MINA(F45:Q45)&lt;0.001,"&lt;0.001",MINA(F45:Q45))</f>
        <v>0.21</v>
      </c>
      <c r="T45" s="396">
        <f>IF(AVERAGEA(F45:Q45)&lt;0.01,"&lt;0.01",AVERAGEA(F45:Q45))</f>
        <v>0.3</v>
      </c>
      <c r="U45" s="578"/>
      <c r="V45" s="2"/>
    </row>
    <row r="46" spans="2:22" ht="12" customHeight="1" x14ac:dyDescent="0.15">
      <c r="B46" s="19">
        <f t="shared" si="0"/>
        <v>34</v>
      </c>
      <c r="C46" s="592" t="s">
        <v>44</v>
      </c>
      <c r="D46" s="593"/>
      <c r="E46" s="11" t="s">
        <v>95</v>
      </c>
      <c r="F46" s="177">
        <v>0.52</v>
      </c>
      <c r="G46" s="178"/>
      <c r="H46" s="178"/>
      <c r="I46" s="318">
        <v>0.38</v>
      </c>
      <c r="J46" s="178"/>
      <c r="K46" s="178"/>
      <c r="L46" s="318">
        <v>0.68</v>
      </c>
      <c r="M46" s="178"/>
      <c r="N46" s="178"/>
      <c r="O46" s="318">
        <v>0.28000000000000003</v>
      </c>
      <c r="P46" s="178"/>
      <c r="Q46" s="396"/>
      <c r="R46" s="178">
        <f>IF(MAXA(F46:Q46)&lt;0.001,"&lt;0.001",MAXA(F46:Q46))</f>
        <v>0.68</v>
      </c>
      <c r="S46" s="178">
        <f>IF(MINA(F46:Q46)&lt;0.001,"&lt;0.001",MINA(F46:Q46))</f>
        <v>0.28000000000000003</v>
      </c>
      <c r="T46" s="396">
        <f>IF(AVERAGEA(F46:Q46)&lt;0.001,"&lt;0.001",AVERAGEA(F46:Q46))</f>
        <v>0.46500000000000002</v>
      </c>
      <c r="U46" s="578"/>
      <c r="V46" s="2"/>
    </row>
    <row r="47" spans="2:22" ht="12" customHeight="1" x14ac:dyDescent="0.15">
      <c r="B47" s="19">
        <f t="shared" si="0"/>
        <v>35</v>
      </c>
      <c r="C47" s="592" t="s">
        <v>45</v>
      </c>
      <c r="D47" s="593"/>
      <c r="E47" s="11" t="s">
        <v>110</v>
      </c>
      <c r="F47" s="179" t="s">
        <v>513</v>
      </c>
      <c r="G47" s="178"/>
      <c r="H47" s="178"/>
      <c r="I47" s="179" t="s">
        <v>313</v>
      </c>
      <c r="J47" s="178"/>
      <c r="K47" s="178"/>
      <c r="L47" s="179" t="s">
        <v>313</v>
      </c>
      <c r="M47" s="178"/>
      <c r="N47" s="178"/>
      <c r="O47" s="179" t="s">
        <v>313</v>
      </c>
      <c r="P47" s="178"/>
      <c r="Q47" s="396"/>
      <c r="R47" s="179" t="str">
        <f>IF(MAXA(F47:Q47)&lt;0.01,"&lt;0.01",MAXA(F47:Q47))</f>
        <v>&lt;0.01</v>
      </c>
      <c r="S47" s="178" t="str">
        <f>IF(MINA(F47:Q47)&lt;0.01,"&lt;0.01",MINA(F47:Q47))</f>
        <v>&lt;0.01</v>
      </c>
      <c r="T47" s="396" t="str">
        <f>IF(AVERAGEA(F47:Q47)&lt;0.01,"&lt;0.01",AVERAGEA(F47:Q47))</f>
        <v>&lt;0.01</v>
      </c>
      <c r="U47" s="578"/>
      <c r="V47" s="2"/>
    </row>
    <row r="48" spans="2:22" ht="12" customHeight="1" x14ac:dyDescent="0.15">
      <c r="B48" s="19">
        <f t="shared" si="0"/>
        <v>36</v>
      </c>
      <c r="C48" s="592" t="s">
        <v>46</v>
      </c>
      <c r="D48" s="593"/>
      <c r="E48" s="11" t="s">
        <v>65</v>
      </c>
      <c r="F48" s="180">
        <v>7.5</v>
      </c>
      <c r="G48" s="91"/>
      <c r="H48" s="91"/>
      <c r="I48" s="91">
        <v>8.6999999999999993</v>
      </c>
      <c r="J48" s="91"/>
      <c r="K48" s="91"/>
      <c r="L48" s="91">
        <v>9.6999999999999993</v>
      </c>
      <c r="M48" s="91"/>
      <c r="N48" s="91"/>
      <c r="O48" s="91">
        <v>9</v>
      </c>
      <c r="P48" s="91"/>
      <c r="Q48" s="395"/>
      <c r="R48" s="91">
        <f>IF(MAXA(F48:Q48)&lt;0.5,"&lt;0.5",MAXA(F48:Q48))</f>
        <v>9.6999999999999993</v>
      </c>
      <c r="S48" s="91">
        <f>IF(MINA(F48:Q48)&lt;0.5,"&lt;0.5",MINA(F48:Q48))</f>
        <v>7.5</v>
      </c>
      <c r="T48" s="395">
        <f>IF(AVERAGEA(F48:Q48)&lt;0.5,"&lt;0.5",AVERAGEA(F48:Q48))</f>
        <v>8.7249999999999996</v>
      </c>
      <c r="U48" s="578"/>
      <c r="V48" s="2"/>
    </row>
    <row r="49" spans="2:22" ht="12" customHeight="1" x14ac:dyDescent="0.15">
      <c r="B49" s="19">
        <f t="shared" si="0"/>
        <v>37</v>
      </c>
      <c r="C49" s="592" t="s">
        <v>47</v>
      </c>
      <c r="D49" s="593"/>
      <c r="E49" s="11" t="s">
        <v>107</v>
      </c>
      <c r="F49" s="173">
        <v>1.2E-2</v>
      </c>
      <c r="G49" s="179"/>
      <c r="H49" s="179"/>
      <c r="I49" s="179">
        <v>3.2000000000000001E-2</v>
      </c>
      <c r="J49" s="179"/>
      <c r="K49" s="179"/>
      <c r="L49" s="179">
        <v>4.2999999999999997E-2</v>
      </c>
      <c r="M49" s="179"/>
      <c r="N49" s="179"/>
      <c r="O49" s="179">
        <v>1.0999999999999999E-2</v>
      </c>
      <c r="P49" s="179"/>
      <c r="Q49" s="393"/>
      <c r="R49" s="239">
        <f>IF(MAXA(F49:Q49)&lt;0.001,"&lt;0.001",MAXA(F49:Q49))</f>
        <v>4.2999999999999997E-2</v>
      </c>
      <c r="S49" s="179">
        <f>IF(MINA(F49:Q49)&lt;0.001,"&lt;0.001",MINA(F49:Q49))</f>
        <v>1.0999999999999999E-2</v>
      </c>
      <c r="T49" s="393">
        <f>IF(AVERAGEA(F49:Q49)&lt;0.001,"&lt;0.001",AVERAGEA(F49:Q49))</f>
        <v>2.4499999999999997E-2</v>
      </c>
      <c r="U49" s="596"/>
      <c r="V49" s="2"/>
    </row>
    <row r="50" spans="2:22" ht="12" customHeight="1" x14ac:dyDescent="0.15">
      <c r="B50" s="19">
        <f t="shared" si="0"/>
        <v>38</v>
      </c>
      <c r="C50" s="592" t="s">
        <v>48</v>
      </c>
      <c r="D50" s="593"/>
      <c r="E50" s="11" t="s">
        <v>65</v>
      </c>
      <c r="F50" s="170">
        <v>9</v>
      </c>
      <c r="G50" s="91">
        <v>7.5</v>
      </c>
      <c r="H50" s="91">
        <v>7.8</v>
      </c>
      <c r="I50" s="91">
        <v>7.3</v>
      </c>
      <c r="J50" s="91">
        <v>7.2</v>
      </c>
      <c r="K50" s="234">
        <v>10</v>
      </c>
      <c r="L50" s="91">
        <v>7.1</v>
      </c>
      <c r="M50" s="91">
        <v>8.6999999999999993</v>
      </c>
      <c r="N50" s="444">
        <v>11</v>
      </c>
      <c r="O50" s="234">
        <v>14</v>
      </c>
      <c r="P50" s="234">
        <v>12</v>
      </c>
      <c r="Q50" s="392">
        <v>12</v>
      </c>
      <c r="R50" s="234">
        <f>IF(MAXA(F50:Q50)&lt;0.1,"&lt;0.1",MAXA(F50:Q50))</f>
        <v>14</v>
      </c>
      <c r="S50" s="91">
        <f>IF(MINA(F50:Q50)&lt;0.1,"&lt;0.1",MINA(F50:Q50))</f>
        <v>7.1</v>
      </c>
      <c r="T50" s="395">
        <f>IF(AVERAGEA(F50:Q50)&lt;0.1,"&lt;0.1",AVERAGEA(F50:Q50))</f>
        <v>9.4666666666666668</v>
      </c>
      <c r="U50" s="9" t="s">
        <v>499</v>
      </c>
      <c r="V50" s="2"/>
    </row>
    <row r="51" spans="2:22" ht="12" customHeight="1" x14ac:dyDescent="0.15">
      <c r="B51" s="19">
        <f t="shared" si="0"/>
        <v>39</v>
      </c>
      <c r="C51" s="592" t="s">
        <v>49</v>
      </c>
      <c r="D51" s="593"/>
      <c r="E51" s="11" t="s">
        <v>66</v>
      </c>
      <c r="F51" s="171">
        <v>22</v>
      </c>
      <c r="G51" s="234"/>
      <c r="H51" s="234"/>
      <c r="I51" s="234">
        <v>26</v>
      </c>
      <c r="J51" s="234"/>
      <c r="K51" s="234"/>
      <c r="L51" s="234">
        <v>31</v>
      </c>
      <c r="M51" s="234"/>
      <c r="N51" s="234"/>
      <c r="O51" s="234">
        <v>26</v>
      </c>
      <c r="P51" s="234"/>
      <c r="Q51" s="392"/>
      <c r="R51" s="234">
        <f>IF(MAXA(F51:Q51)&lt;3,"&lt;3",MAXA(F51:Q51))</f>
        <v>31</v>
      </c>
      <c r="S51" s="234">
        <f>IF(MINA(F51:Q51)&lt;3,"&lt;3",MINA(F51:Q51))</f>
        <v>22</v>
      </c>
      <c r="T51" s="392">
        <f>IF(AVERAGEA(F51:Q51)&lt;3,"&lt;3",AVERAGEA(F51:Q51))</f>
        <v>26.25</v>
      </c>
      <c r="U51" s="595" t="s">
        <v>500</v>
      </c>
      <c r="V51" s="2"/>
    </row>
    <row r="52" spans="2:22" ht="12" customHeight="1" x14ac:dyDescent="0.15">
      <c r="B52" s="19">
        <f t="shared" si="0"/>
        <v>40</v>
      </c>
      <c r="C52" s="592" t="s">
        <v>50</v>
      </c>
      <c r="D52" s="593"/>
      <c r="E52" s="11" t="s">
        <v>67</v>
      </c>
      <c r="F52" s="171">
        <v>59</v>
      </c>
      <c r="G52" s="234"/>
      <c r="H52" s="234"/>
      <c r="I52" s="234">
        <v>71</v>
      </c>
      <c r="J52" s="234"/>
      <c r="K52" s="234"/>
      <c r="L52" s="234">
        <v>76</v>
      </c>
      <c r="M52" s="234"/>
      <c r="N52" s="234"/>
      <c r="O52" s="234">
        <v>64</v>
      </c>
      <c r="P52" s="234"/>
      <c r="Q52" s="392"/>
      <c r="R52" s="234">
        <f>IF(MAXA(F52:Q52)&lt;1,"&lt;1",MAXA(F52:Q52))</f>
        <v>76</v>
      </c>
      <c r="S52" s="234">
        <f>IF(MINA(F52:Q52)&lt;1,"&lt;1",MINA(F52:Q52))</f>
        <v>59</v>
      </c>
      <c r="T52" s="392">
        <f>IF(AVERAGEA(F52:Q52)&lt;1,"&lt;1",AVERAGEA(F52:Q52))</f>
        <v>67.5</v>
      </c>
      <c r="U52" s="595"/>
      <c r="V52" s="2"/>
    </row>
    <row r="53" spans="2:22" ht="12" customHeight="1" x14ac:dyDescent="0.15">
      <c r="B53" s="19">
        <f t="shared" si="0"/>
        <v>41</v>
      </c>
      <c r="C53" s="592" t="s">
        <v>51</v>
      </c>
      <c r="D53" s="593"/>
      <c r="E53" s="11" t="s">
        <v>89</v>
      </c>
      <c r="F53" s="177" t="s">
        <v>314</v>
      </c>
      <c r="G53" s="178"/>
      <c r="H53" s="268"/>
      <c r="I53" s="178" t="s">
        <v>314</v>
      </c>
      <c r="J53" s="178"/>
      <c r="K53" s="178"/>
      <c r="L53" s="178" t="s">
        <v>314</v>
      </c>
      <c r="M53" s="178"/>
      <c r="N53" s="178"/>
      <c r="O53" s="178" t="s">
        <v>314</v>
      </c>
      <c r="P53" s="178"/>
      <c r="Q53" s="396"/>
      <c r="R53" s="178" t="str">
        <f>IF(MAXA(F53:Q53)&lt;0.02,"&lt;0.02",MAXA(F53:Q53))</f>
        <v>&lt;0.02</v>
      </c>
      <c r="S53" s="178" t="str">
        <f>IF(MINA(F53:Q53)&lt;0.02,"&lt;0.02",MINA(F53:Q53))</f>
        <v>&lt;0.02</v>
      </c>
      <c r="T53" s="396" t="str">
        <f>IF(AVERAGEA(F53:Q53)&lt;0.02,"&lt;0.02",AVERAGEA(F53:Q53))</f>
        <v>&lt;0.02</v>
      </c>
      <c r="U53" s="595" t="s">
        <v>62</v>
      </c>
      <c r="V53" s="2"/>
    </row>
    <row r="54" spans="2:22" ht="12" customHeight="1" x14ac:dyDescent="0.15">
      <c r="B54" s="19">
        <f t="shared" si="0"/>
        <v>42</v>
      </c>
      <c r="C54" s="592" t="s">
        <v>244</v>
      </c>
      <c r="D54" s="593"/>
      <c r="E54" s="11" t="s">
        <v>117</v>
      </c>
      <c r="F54" s="181" t="s">
        <v>315</v>
      </c>
      <c r="G54" s="238">
        <v>9.9999999999999995E-7</v>
      </c>
      <c r="H54" s="238" t="s">
        <v>581</v>
      </c>
      <c r="I54" s="238" t="s">
        <v>544</v>
      </c>
      <c r="J54" s="238" t="s">
        <v>544</v>
      </c>
      <c r="K54" s="238" t="s">
        <v>544</v>
      </c>
      <c r="L54" s="238" t="s">
        <v>315</v>
      </c>
      <c r="M54" s="238" t="s">
        <v>315</v>
      </c>
      <c r="N54" s="238" t="s">
        <v>315</v>
      </c>
      <c r="O54" s="238" t="s">
        <v>315</v>
      </c>
      <c r="P54" s="238" t="s">
        <v>315</v>
      </c>
      <c r="Q54" s="492" t="s">
        <v>315</v>
      </c>
      <c r="R54" s="495">
        <f>IF(MAXA(F54:Q54)&lt;0.000001,"&lt;0.000001",MAXA(F54:Q54))</f>
        <v>9.9999999999999995E-7</v>
      </c>
      <c r="S54" s="238" t="str">
        <f>IF(MINA(F54:Q54)&lt;0.000001,"&lt;0.000001",MINA(F54:Q54))</f>
        <v>&lt;0.000001</v>
      </c>
      <c r="T54" s="492" t="str">
        <f>IF(AVERAGEA(F54:Q54)&lt;0.000001,"&lt;0.000001",AVERAGEA(F54:Q54))</f>
        <v>&lt;0.000001</v>
      </c>
      <c r="U54" s="595"/>
      <c r="V54" s="2"/>
    </row>
    <row r="55" spans="2:22" ht="12" customHeight="1" x14ac:dyDescent="0.15">
      <c r="B55" s="19">
        <f t="shared" si="0"/>
        <v>43</v>
      </c>
      <c r="C55" s="592" t="s">
        <v>245</v>
      </c>
      <c r="D55" s="593"/>
      <c r="E55" s="11" t="s">
        <v>117</v>
      </c>
      <c r="F55" s="181" t="s">
        <v>315</v>
      </c>
      <c r="G55" s="238" t="s">
        <v>315</v>
      </c>
      <c r="H55" s="238" t="s">
        <v>315</v>
      </c>
      <c r="I55" s="238" t="s">
        <v>315</v>
      </c>
      <c r="J55" s="238" t="s">
        <v>315</v>
      </c>
      <c r="K55" s="238" t="s">
        <v>315</v>
      </c>
      <c r="L55" s="238" t="s">
        <v>315</v>
      </c>
      <c r="M55" s="238" t="s">
        <v>315</v>
      </c>
      <c r="N55" s="238" t="s">
        <v>315</v>
      </c>
      <c r="O55" s="238" t="s">
        <v>315</v>
      </c>
      <c r="P55" s="238" t="s">
        <v>315</v>
      </c>
      <c r="Q55" s="492" t="s">
        <v>315</v>
      </c>
      <c r="R55" s="496" t="str">
        <f>IF(MAXA(F55:Q55)&lt;0.000001,"&lt;0.000001",MAXA(F55:Q55))</f>
        <v>&lt;0.000001</v>
      </c>
      <c r="S55" s="497" t="str">
        <f>IF(MINA(F55:Q55)&lt;0.000001,"&lt;0.000001",MINA(F55:Q55))</f>
        <v>&lt;0.000001</v>
      </c>
      <c r="T55" s="498" t="str">
        <f>IF(AVERAGEA(F55:Q55)&lt;0.000001,"&lt;0.000001",AVERAGEA(F55:Q55))</f>
        <v>&lt;0.000001</v>
      </c>
      <c r="U55" s="595"/>
      <c r="V55" s="2"/>
    </row>
    <row r="56" spans="2:22" ht="12" customHeight="1" x14ac:dyDescent="0.15">
      <c r="B56" s="19">
        <f t="shared" si="0"/>
        <v>44</v>
      </c>
      <c r="C56" s="592" t="s">
        <v>52</v>
      </c>
      <c r="D56" s="593"/>
      <c r="E56" s="11" t="s">
        <v>96</v>
      </c>
      <c r="F56" s="173" t="s">
        <v>312</v>
      </c>
      <c r="G56" s="179"/>
      <c r="H56" s="265"/>
      <c r="I56" s="179" t="s">
        <v>312</v>
      </c>
      <c r="J56" s="179"/>
      <c r="K56" s="179"/>
      <c r="L56" s="179" t="s">
        <v>312</v>
      </c>
      <c r="M56" s="179"/>
      <c r="N56" s="179"/>
      <c r="O56" s="179" t="s">
        <v>312</v>
      </c>
      <c r="P56" s="179"/>
      <c r="Q56" s="393"/>
      <c r="R56" s="239" t="str">
        <f>IF(MAXA(F56:Q56)&lt;0.005,"&lt;0.005",MAXA(F56:Q56))</f>
        <v>&lt;0.005</v>
      </c>
      <c r="S56" s="179" t="str">
        <f>IF(MINA(F56:Q56)&lt;0.005,"&lt;0.005",MINA(F56:Q56))</f>
        <v>&lt;0.005</v>
      </c>
      <c r="T56" s="393" t="str">
        <f>IF(AVERAGEA(F56:Q56)&lt;0.005,"&lt;0.005",AVERAGEA(F56:Q56))</f>
        <v>&lt;0.005</v>
      </c>
      <c r="U56" s="595"/>
      <c r="V56" s="2"/>
    </row>
    <row r="57" spans="2:22" ht="12" customHeight="1" x14ac:dyDescent="0.15">
      <c r="B57" s="19">
        <f t="shared" si="0"/>
        <v>45</v>
      </c>
      <c r="C57" s="592" t="s">
        <v>53</v>
      </c>
      <c r="D57" s="593"/>
      <c r="E57" s="11" t="s">
        <v>118</v>
      </c>
      <c r="F57" s="176" t="s">
        <v>316</v>
      </c>
      <c r="G57" s="237"/>
      <c r="H57" s="270"/>
      <c r="I57" s="237" t="s">
        <v>316</v>
      </c>
      <c r="J57" s="237"/>
      <c r="K57" s="237"/>
      <c r="L57" s="237" t="s">
        <v>316</v>
      </c>
      <c r="M57" s="237"/>
      <c r="N57" s="237"/>
      <c r="O57" s="237" t="s">
        <v>316</v>
      </c>
      <c r="P57" s="237"/>
      <c r="Q57" s="397"/>
      <c r="R57" s="278" t="str">
        <f>IF(MAXA(F57:Q57)&lt;0.0005,"&lt;0.0005",MAXA(F57:Q57))</f>
        <v>&lt;0.0005</v>
      </c>
      <c r="S57" s="237" t="str">
        <f>IF(MINA(F57:Q57)&lt;0.0005,"&lt;0.0005",MINA(F57:Q57))</f>
        <v>&lt;0.0005</v>
      </c>
      <c r="T57" s="397" t="str">
        <f>IF(AVERAGEA(F57:Q57)&lt;0.0005,"&lt;0.0005",AVERAGEA(F57:Q57))</f>
        <v>&lt;0.0005</v>
      </c>
      <c r="U57" s="595"/>
      <c r="V57" s="2"/>
    </row>
    <row r="58" spans="2:22" ht="12" customHeight="1" x14ac:dyDescent="0.15">
      <c r="B58" s="28">
        <f t="shared" si="0"/>
        <v>46</v>
      </c>
      <c r="C58" s="592" t="s">
        <v>128</v>
      </c>
      <c r="D58" s="593"/>
      <c r="E58" s="11" t="s">
        <v>97</v>
      </c>
      <c r="F58" s="170">
        <v>0.7</v>
      </c>
      <c r="G58" s="91">
        <v>1.1000000000000001</v>
      </c>
      <c r="H58" s="91">
        <v>1.2</v>
      </c>
      <c r="I58" s="91">
        <v>1.4</v>
      </c>
      <c r="J58" s="91">
        <v>1.3</v>
      </c>
      <c r="K58" s="91">
        <v>1.1000000000000001</v>
      </c>
      <c r="L58" s="91">
        <v>1.9</v>
      </c>
      <c r="M58" s="91">
        <v>1.1000000000000001</v>
      </c>
      <c r="N58" s="91">
        <v>0.9</v>
      </c>
      <c r="O58" s="91">
        <v>0.7</v>
      </c>
      <c r="P58" s="91">
        <v>0.5</v>
      </c>
      <c r="Q58" s="395">
        <v>0.6</v>
      </c>
      <c r="R58" s="170">
        <f>IF(MAXA(F58:Q58)&lt;0.3,"&lt;0.3",MAXA(F58:Q58))</f>
        <v>1.9</v>
      </c>
      <c r="S58" s="91">
        <f>IF(MINA(F58:Q58)&lt;0.3,"&lt;0.3",MINA(F58:Q58))</f>
        <v>0.5</v>
      </c>
      <c r="T58" s="395">
        <f>IF(AVERAGEA(F58:Q58)&lt;0.3,"&lt;0.3",AVERAGEA(F58:Q58))</f>
        <v>1.0416666666666667</v>
      </c>
      <c r="U58" s="595" t="s">
        <v>63</v>
      </c>
      <c r="V58" s="2"/>
    </row>
    <row r="59" spans="2:22" ht="12" customHeight="1" x14ac:dyDescent="0.15">
      <c r="B59" s="19">
        <f t="shared" si="0"/>
        <v>47</v>
      </c>
      <c r="C59" s="592" t="s">
        <v>54</v>
      </c>
      <c r="D59" s="593"/>
      <c r="E59" s="11" t="s">
        <v>68</v>
      </c>
      <c r="F59" s="170">
        <v>7</v>
      </c>
      <c r="G59" s="91">
        <v>7.3</v>
      </c>
      <c r="H59" s="91">
        <v>7.5</v>
      </c>
      <c r="I59" s="91">
        <v>7.5</v>
      </c>
      <c r="J59" s="91">
        <v>7.3</v>
      </c>
      <c r="K59" s="91">
        <v>6.8</v>
      </c>
      <c r="L59" s="91">
        <v>7.1</v>
      </c>
      <c r="M59" s="91">
        <v>7.3</v>
      </c>
      <c r="N59" s="91">
        <v>7.2</v>
      </c>
      <c r="O59" s="91">
        <v>7.1</v>
      </c>
      <c r="P59" s="91">
        <v>7.4</v>
      </c>
      <c r="Q59" s="395">
        <v>7.4</v>
      </c>
      <c r="R59" s="170">
        <f>MAX(F59:Q59)</f>
        <v>7.5</v>
      </c>
      <c r="S59" s="91">
        <f>MIN(F59:Q59)</f>
        <v>6.8</v>
      </c>
      <c r="T59" s="395">
        <f>AVERAGEA(F59:Q59)</f>
        <v>7.2416666666666671</v>
      </c>
      <c r="U59" s="595"/>
      <c r="V59" s="2"/>
    </row>
    <row r="60" spans="2:22" ht="12" customHeight="1" x14ac:dyDescent="0.15">
      <c r="B60" s="19">
        <f t="shared" si="0"/>
        <v>48</v>
      </c>
      <c r="C60" s="592" t="s">
        <v>55</v>
      </c>
      <c r="D60" s="593"/>
      <c r="E60" s="11" t="s">
        <v>121</v>
      </c>
      <c r="F60" s="171"/>
      <c r="G60" s="234"/>
      <c r="H60" s="234"/>
      <c r="I60" s="234"/>
      <c r="J60" s="234"/>
      <c r="K60" s="234"/>
      <c r="L60" s="234"/>
      <c r="M60" s="234"/>
      <c r="N60" s="234"/>
      <c r="O60" s="234"/>
      <c r="P60" s="234"/>
      <c r="Q60" s="392"/>
      <c r="R60" s="171"/>
      <c r="S60" s="234"/>
      <c r="T60" s="392"/>
      <c r="U60" s="595"/>
      <c r="V60" s="2"/>
    </row>
    <row r="61" spans="2:22" ht="12" customHeight="1" x14ac:dyDescent="0.15">
      <c r="B61" s="19">
        <f t="shared" si="0"/>
        <v>49</v>
      </c>
      <c r="C61" s="592" t="s">
        <v>56</v>
      </c>
      <c r="D61" s="593"/>
      <c r="E61" s="11" t="s">
        <v>121</v>
      </c>
      <c r="F61" s="182" t="s">
        <v>317</v>
      </c>
      <c r="G61" s="234" t="s">
        <v>317</v>
      </c>
      <c r="H61" s="234" t="s">
        <v>317</v>
      </c>
      <c r="I61" s="234" t="s">
        <v>317</v>
      </c>
      <c r="J61" s="234" t="s">
        <v>317</v>
      </c>
      <c r="K61" s="234" t="s">
        <v>595</v>
      </c>
      <c r="L61" s="234" t="s">
        <v>317</v>
      </c>
      <c r="M61" s="234" t="s">
        <v>602</v>
      </c>
      <c r="N61" s="234" t="s">
        <v>317</v>
      </c>
      <c r="O61" s="234" t="s">
        <v>317</v>
      </c>
      <c r="P61" s="234" t="s">
        <v>317</v>
      </c>
      <c r="Q61" s="392" t="s">
        <v>317</v>
      </c>
      <c r="R61" s="171"/>
      <c r="S61" s="234"/>
      <c r="T61" s="392"/>
      <c r="U61" s="595"/>
      <c r="V61" s="2"/>
    </row>
    <row r="62" spans="2:22" ht="12" customHeight="1" x14ac:dyDescent="0.15">
      <c r="B62" s="19">
        <f t="shared" si="0"/>
        <v>50</v>
      </c>
      <c r="C62" s="592" t="s">
        <v>57</v>
      </c>
      <c r="D62" s="593"/>
      <c r="E62" s="11" t="s">
        <v>119</v>
      </c>
      <c r="F62" s="170">
        <v>6.4</v>
      </c>
      <c r="G62" s="234">
        <v>11</v>
      </c>
      <c r="H62" s="91">
        <v>7.1</v>
      </c>
      <c r="I62" s="234">
        <v>13</v>
      </c>
      <c r="J62" s="234">
        <v>11</v>
      </c>
      <c r="K62" s="234">
        <v>15</v>
      </c>
      <c r="L62" s="234">
        <v>18</v>
      </c>
      <c r="M62" s="91">
        <v>7.1</v>
      </c>
      <c r="N62" s="91">
        <v>8.3000000000000007</v>
      </c>
      <c r="O62" s="91">
        <v>5.4</v>
      </c>
      <c r="P62" s="91">
        <v>3.6</v>
      </c>
      <c r="Q62" s="395">
        <v>3.8</v>
      </c>
      <c r="R62" s="171">
        <f>IF(MAXA(F62:Q62)&lt;0.5,"&lt;0.5",MAXA(F62:Q62))</f>
        <v>18</v>
      </c>
      <c r="S62" s="91">
        <f>IF(MINA(F62:Q62)&lt;0.5,"&lt;0.5",MINA(F62:Q62))</f>
        <v>3.6</v>
      </c>
      <c r="T62" s="395">
        <f>IF(AVERAGEA(F62:Q62)&lt;0.5,"&lt;0.5",AVERAGEA(F62:Q62))</f>
        <v>9.1416666666666657</v>
      </c>
      <c r="U62" s="595"/>
      <c r="V62" s="2"/>
    </row>
    <row r="63" spans="2:22" ht="12" customHeight="1" thickBot="1" x14ac:dyDescent="0.2">
      <c r="B63" s="24">
        <f t="shared" si="0"/>
        <v>51</v>
      </c>
      <c r="C63" s="606" t="s">
        <v>58</v>
      </c>
      <c r="D63" s="607"/>
      <c r="E63" s="25" t="s">
        <v>120</v>
      </c>
      <c r="F63" s="183">
        <v>8.6999999999999993</v>
      </c>
      <c r="G63" s="250">
        <v>20</v>
      </c>
      <c r="H63" s="300">
        <v>2.7</v>
      </c>
      <c r="I63" s="300">
        <v>4.0999999999999996</v>
      </c>
      <c r="J63" s="300">
        <v>9.1999999999999993</v>
      </c>
      <c r="K63" s="300">
        <v>6</v>
      </c>
      <c r="L63" s="300">
        <v>5.3</v>
      </c>
      <c r="M63" s="300">
        <v>2.2999999999999998</v>
      </c>
      <c r="N63" s="300">
        <v>4.9000000000000004</v>
      </c>
      <c r="O63" s="300">
        <v>4.9000000000000004</v>
      </c>
      <c r="P63" s="300">
        <v>3.2</v>
      </c>
      <c r="Q63" s="464">
        <v>3.3</v>
      </c>
      <c r="R63" s="422">
        <f>IF(MAXA(F63:Q63)&lt;0.1,"&lt;0.1",MAXA(F63:Q63))</f>
        <v>20</v>
      </c>
      <c r="S63" s="488">
        <f>IF(MINA(F63:Q63)&lt;0.1,"&lt;0.1",MINA(F63:Q63))</f>
        <v>2.2999999999999998</v>
      </c>
      <c r="T63" s="399">
        <f>IF(AVERAGEA(F63:Q63)&lt;0.1,"&lt;0.1",AVERAGEA(F63:Q63))</f>
        <v>6.2166666666666659</v>
      </c>
      <c r="U63" s="599"/>
      <c r="V63" s="2"/>
    </row>
    <row r="64" spans="2:22" ht="15" customHeight="1" x14ac:dyDescent="0.15">
      <c r="B64" s="584" t="s">
        <v>123</v>
      </c>
      <c r="C64" s="585"/>
      <c r="D64" s="586"/>
      <c r="E64" s="35" t="s">
        <v>133</v>
      </c>
      <c r="F64" s="587" t="s">
        <v>3</v>
      </c>
      <c r="G64" s="553"/>
      <c r="H64" s="553"/>
      <c r="I64" s="553"/>
      <c r="J64" s="553"/>
      <c r="K64" s="553"/>
      <c r="L64" s="553"/>
      <c r="M64" s="553"/>
      <c r="N64" s="553"/>
      <c r="O64" s="553"/>
      <c r="P64" s="553"/>
      <c r="Q64" s="634"/>
      <c r="R64" s="587"/>
      <c r="S64" s="585"/>
      <c r="T64" s="635"/>
      <c r="U64" s="69"/>
      <c r="V64" s="2"/>
    </row>
    <row r="65" spans="2:22" ht="12" customHeight="1" x14ac:dyDescent="0.15">
      <c r="B65" s="40">
        <v>1</v>
      </c>
      <c r="C65" s="592" t="s">
        <v>129</v>
      </c>
      <c r="D65" s="593"/>
      <c r="E65" s="8" t="s">
        <v>158</v>
      </c>
      <c r="F65" s="184"/>
      <c r="G65" s="91" t="s">
        <v>572</v>
      </c>
      <c r="H65" s="172"/>
      <c r="I65" s="178" t="s">
        <v>572</v>
      </c>
      <c r="J65" s="340"/>
      <c r="K65" s="91" t="s">
        <v>310</v>
      </c>
      <c r="L65" s="178"/>
      <c r="M65" s="91" t="s">
        <v>468</v>
      </c>
      <c r="N65" s="441"/>
      <c r="O65" s="447"/>
      <c r="P65" s="478"/>
      <c r="Q65" s="484"/>
      <c r="R65" s="170" t="str">
        <f>IF(MAXA(F65:Q65)&lt;0.1,"&lt;0.1",MAXA(F65:Q65))</f>
        <v>&lt;0.1</v>
      </c>
      <c r="S65" s="108" t="str">
        <f>IF(MINA(F65:Q65)&lt;0.1,"&lt;0.1",MINA(F65:Q65))</f>
        <v>&lt;0.1</v>
      </c>
      <c r="T65" s="499" t="str">
        <f>IF(AVERAGEA(F65:Q65)&lt;0.1,"&lt;0.1",AVERAGEA(F65:Q65))</f>
        <v>&lt;0.1</v>
      </c>
      <c r="U65" s="636" t="s">
        <v>63</v>
      </c>
      <c r="V65" s="2"/>
    </row>
    <row r="66" spans="2:22" ht="12" customHeight="1" x14ac:dyDescent="0.15">
      <c r="B66" s="40">
        <v>2</v>
      </c>
      <c r="C66" s="592" t="s">
        <v>159</v>
      </c>
      <c r="D66" s="593"/>
      <c r="E66" s="8" t="s">
        <v>158</v>
      </c>
      <c r="F66" s="185"/>
      <c r="G66" s="91" t="s">
        <v>573</v>
      </c>
      <c r="H66" s="185"/>
      <c r="I66" s="91">
        <v>0.9</v>
      </c>
      <c r="J66" s="340"/>
      <c r="K66" s="91">
        <v>1.9</v>
      </c>
      <c r="L66" s="178"/>
      <c r="M66" s="91" t="s">
        <v>532</v>
      </c>
      <c r="N66" s="441"/>
      <c r="O66" s="447"/>
      <c r="P66" s="478"/>
      <c r="Q66" s="484"/>
      <c r="R66" s="170">
        <f>IF(MAXA(F66:Q66)&lt;0.5,"&lt;0.5",MAXA(F66:Q66))</f>
        <v>1.9</v>
      </c>
      <c r="S66" s="91" t="str">
        <f>IF(MINA(F66:Q66)&lt;0.5,"&lt;0.5",MINA(F66:Q66))</f>
        <v>&lt;0.5</v>
      </c>
      <c r="T66" s="500">
        <f>IF(AVERAGEA(F66:Q66)&lt;0.5,"&lt;0.5",AVERAGEA(F66:Q66))</f>
        <v>0.7</v>
      </c>
      <c r="U66" s="637"/>
      <c r="V66" s="4"/>
    </row>
    <row r="67" spans="2:22" ht="12" customHeight="1" x14ac:dyDescent="0.15">
      <c r="B67" s="40">
        <v>3</v>
      </c>
      <c r="C67" s="592" t="s">
        <v>160</v>
      </c>
      <c r="D67" s="593"/>
      <c r="E67" s="8" t="s">
        <v>158</v>
      </c>
      <c r="F67" s="185"/>
      <c r="G67" s="187">
        <v>3.2</v>
      </c>
      <c r="H67" s="185"/>
      <c r="I67" s="187">
        <v>3.5</v>
      </c>
      <c r="J67" s="340"/>
      <c r="K67" s="187">
        <v>3.5</v>
      </c>
      <c r="L67" s="367"/>
      <c r="M67" s="384">
        <v>2.9</v>
      </c>
      <c r="N67" s="236"/>
      <c r="O67" s="447"/>
      <c r="P67" s="478"/>
      <c r="Q67" s="484"/>
      <c r="R67" s="170">
        <f>IF(MAXA(F67:Q67)&lt;0.5,"&lt;0.5",MAXA(F67:Q67))</f>
        <v>3.5</v>
      </c>
      <c r="S67" s="91">
        <f>IF(MINA(F67:Q67)&lt;0.5,"&lt;0.5",MINA(F67:Q67))</f>
        <v>2.9</v>
      </c>
      <c r="T67" s="500">
        <f>IF(AVERAGEA(F67:Q67)&lt;0.5,"&lt;0.5",AVERAGEA(F67:Q67))</f>
        <v>3.2749999999999999</v>
      </c>
      <c r="U67" s="637"/>
    </row>
    <row r="68" spans="2:22" ht="12" customHeight="1" x14ac:dyDescent="0.15">
      <c r="B68" s="40">
        <v>4</v>
      </c>
      <c r="C68" s="592" t="s">
        <v>130</v>
      </c>
      <c r="D68" s="611"/>
      <c r="E68" s="8" t="s">
        <v>161</v>
      </c>
      <c r="F68" s="185"/>
      <c r="G68" s="239">
        <v>4.5999999999999999E-2</v>
      </c>
      <c r="H68" s="185"/>
      <c r="I68" s="239">
        <v>5.6000000000000001E-2</v>
      </c>
      <c r="J68" s="340"/>
      <c r="K68" s="239">
        <v>3.3000000000000002E-2</v>
      </c>
      <c r="L68" s="239"/>
      <c r="M68" s="239">
        <v>3.9E-2</v>
      </c>
      <c r="N68" s="441"/>
      <c r="O68" s="447"/>
      <c r="P68" s="478"/>
      <c r="Q68" s="484"/>
      <c r="R68" s="173">
        <f>MAX(F68:Q68)</f>
        <v>5.6000000000000001E-2</v>
      </c>
      <c r="S68" s="179">
        <f>MIN(F68:Q68)</f>
        <v>3.3000000000000002E-2</v>
      </c>
      <c r="T68" s="501">
        <f>AVERAGEA(F68:Q68)</f>
        <v>4.3500000000000004E-2</v>
      </c>
      <c r="U68" s="637"/>
    </row>
    <row r="69" spans="2:22" ht="12" customHeight="1" x14ac:dyDescent="0.15">
      <c r="B69" s="40">
        <v>5</v>
      </c>
      <c r="C69" s="592" t="s">
        <v>162</v>
      </c>
      <c r="D69" s="611"/>
      <c r="E69" s="8" t="s">
        <v>163</v>
      </c>
      <c r="F69" s="186"/>
      <c r="G69" s="186">
        <v>11</v>
      </c>
      <c r="H69" s="186"/>
      <c r="I69" s="186">
        <v>2</v>
      </c>
      <c r="J69" s="341"/>
      <c r="K69" s="186">
        <v>4</v>
      </c>
      <c r="L69" s="186"/>
      <c r="M69" s="186">
        <v>1</v>
      </c>
      <c r="N69" s="234"/>
      <c r="O69" s="234"/>
      <c r="P69" s="234"/>
      <c r="Q69" s="264"/>
      <c r="R69" s="171">
        <f>IF(MAXA(F69:Q69)&lt;1,"&lt;1",MAXA(F69:Q69))</f>
        <v>11</v>
      </c>
      <c r="S69" s="234">
        <f>IF(MINA(F69:Q69)&lt;1,"&lt;1",MINA(F69:Q69))</f>
        <v>1</v>
      </c>
      <c r="T69" s="502">
        <f>IF(AVERAGEA(F69:Q69)&lt;1,"&lt;1",AVERAGEA(F69:Q69))</f>
        <v>4.5</v>
      </c>
      <c r="U69" s="637"/>
    </row>
    <row r="70" spans="2:22" ht="12" customHeight="1" x14ac:dyDescent="0.15">
      <c r="B70" s="40">
        <v>6</v>
      </c>
      <c r="C70" s="592" t="s">
        <v>265</v>
      </c>
      <c r="D70" s="611"/>
      <c r="E70" s="8" t="s">
        <v>163</v>
      </c>
      <c r="F70" s="187"/>
      <c r="G70" s="187">
        <v>1.4</v>
      </c>
      <c r="H70" s="187"/>
      <c r="I70" s="187">
        <v>3.4</v>
      </c>
      <c r="J70" s="342"/>
      <c r="K70" s="187">
        <v>8.9</v>
      </c>
      <c r="L70" s="367"/>
      <c r="M70" s="384">
        <v>2.5</v>
      </c>
      <c r="N70" s="91"/>
      <c r="O70" s="91"/>
      <c r="P70" s="91"/>
      <c r="Q70" s="485"/>
      <c r="R70" s="170">
        <f>MAX(F70:Q70)</f>
        <v>8.9</v>
      </c>
      <c r="S70" s="91">
        <f>MIN(F70:Q70)</f>
        <v>1.4</v>
      </c>
      <c r="T70" s="500">
        <f>AVERAGEA(F70:Q70)</f>
        <v>4.05</v>
      </c>
      <c r="U70" s="637"/>
    </row>
    <row r="71" spans="2:22" ht="12" customHeight="1" x14ac:dyDescent="0.15">
      <c r="B71" s="40">
        <v>7</v>
      </c>
      <c r="C71" s="592" t="s">
        <v>131</v>
      </c>
      <c r="D71" s="611"/>
      <c r="E71" s="8" t="s">
        <v>164</v>
      </c>
      <c r="F71" s="185"/>
      <c r="G71" s="185">
        <v>0.34</v>
      </c>
      <c r="H71" s="185"/>
      <c r="I71" s="185">
        <v>0.42</v>
      </c>
      <c r="J71" s="340"/>
      <c r="K71" s="185">
        <v>0.35</v>
      </c>
      <c r="L71" s="370"/>
      <c r="M71" s="385">
        <v>0.31</v>
      </c>
      <c r="N71" s="178"/>
      <c r="O71" s="178"/>
      <c r="P71" s="178"/>
      <c r="Q71" s="268"/>
      <c r="R71" s="177">
        <f>IF(MAXA(F71:Q71)&lt;0.05,"&lt;0.05",MAXA(F71:Q71))</f>
        <v>0.42</v>
      </c>
      <c r="S71" s="178">
        <f>IF(MINA(F71:Q71)&lt;0.05,"&lt;0.05",MINA(F71:Q71))</f>
        <v>0.31</v>
      </c>
      <c r="T71" s="503">
        <f>IF(AVERAGEA(F71:Q71)&lt;0.05,"&lt;0.05",AVERAGEA(F71:Q71))</f>
        <v>0.35499999999999998</v>
      </c>
      <c r="U71" s="637"/>
    </row>
    <row r="72" spans="2:22" ht="12" customHeight="1" x14ac:dyDescent="0.15">
      <c r="B72" s="40">
        <v>8</v>
      </c>
      <c r="C72" s="592" t="s">
        <v>199</v>
      </c>
      <c r="D72" s="611"/>
      <c r="E72" s="8" t="s">
        <v>165</v>
      </c>
      <c r="F72" s="185"/>
      <c r="G72" s="188">
        <v>3.1E-2</v>
      </c>
      <c r="H72" s="185"/>
      <c r="I72" s="188">
        <v>1.7999999999999999E-2</v>
      </c>
      <c r="J72" s="340"/>
      <c r="K72" s="239">
        <v>1.4999999999999999E-2</v>
      </c>
      <c r="L72" s="188"/>
      <c r="M72" s="239">
        <v>8.9999999999999993E-3</v>
      </c>
      <c r="N72" s="441"/>
      <c r="O72" s="447"/>
      <c r="P72" s="478"/>
      <c r="Q72" s="483"/>
      <c r="R72" s="173">
        <f>IF(MAXA(F72:Q72)&lt;0.003,"&lt;0.003",MAXA(F72:Q72))</f>
        <v>3.1E-2</v>
      </c>
      <c r="S72" s="179">
        <f>IF(MINA(F72:Q72)&lt;0.003,"&lt;0.003",MINA(F72:Q72))</f>
        <v>8.9999999999999993E-3</v>
      </c>
      <c r="T72" s="501">
        <f>IF(AVERAGEA(F72:Q72)&lt;0.003,"&lt;0.003",AVERAGEA(F72:Q72))</f>
        <v>1.8249999999999999E-2</v>
      </c>
      <c r="U72" s="637"/>
    </row>
    <row r="73" spans="2:22" ht="12" customHeight="1" x14ac:dyDescent="0.15">
      <c r="B73" s="39">
        <v>9</v>
      </c>
      <c r="C73" s="592" t="s">
        <v>132</v>
      </c>
      <c r="D73" s="611"/>
      <c r="E73" s="30" t="s">
        <v>165</v>
      </c>
      <c r="F73" s="188"/>
      <c r="G73" s="188">
        <v>2.9000000000000001E-2</v>
      </c>
      <c r="H73" s="188"/>
      <c r="I73" s="188">
        <v>5.6000000000000001E-2</v>
      </c>
      <c r="J73" s="345">
        <v>4.8000000000000001E-2</v>
      </c>
      <c r="K73" s="188">
        <v>2.3E-2</v>
      </c>
      <c r="L73" s="188">
        <v>4.9000000000000002E-2</v>
      </c>
      <c r="M73" s="188">
        <v>2.9000000000000001E-2</v>
      </c>
      <c r="N73" s="345"/>
      <c r="O73" s="345"/>
      <c r="P73" s="345"/>
      <c r="Q73" s="401"/>
      <c r="R73" s="173">
        <f>IF(MAXA(F73:Q73)&lt;0.003,"&lt;0.003",MAXA(F73:Q73))</f>
        <v>5.6000000000000001E-2</v>
      </c>
      <c r="S73" s="179">
        <f>IF(MINA(F73:Q73)&lt;0.003,"&lt;0.003",MINA(F73:Q73))</f>
        <v>2.3E-2</v>
      </c>
      <c r="T73" s="501">
        <f>IF(AVERAGEA(F73:Q73)&lt;0.003,"&lt;0.003",AVERAGEA(F73:Q73))</f>
        <v>3.9E-2</v>
      </c>
      <c r="U73" s="637"/>
    </row>
    <row r="74" spans="2:22" ht="12" customHeight="1" x14ac:dyDescent="0.15">
      <c r="B74" s="39">
        <v>10</v>
      </c>
      <c r="C74" s="592" t="s">
        <v>200</v>
      </c>
      <c r="D74" s="611"/>
      <c r="E74" s="30" t="s">
        <v>166</v>
      </c>
      <c r="F74" s="189"/>
      <c r="G74" s="189">
        <v>11</v>
      </c>
      <c r="H74" s="189"/>
      <c r="I74" s="302">
        <v>7.3</v>
      </c>
      <c r="J74" s="346"/>
      <c r="K74" s="302">
        <v>4.9000000000000004</v>
      </c>
      <c r="L74" s="302"/>
      <c r="M74" s="302">
        <v>9.1999999999999993</v>
      </c>
      <c r="N74" s="346"/>
      <c r="O74" s="346"/>
      <c r="P74" s="346"/>
      <c r="Q74" s="305"/>
      <c r="R74" s="205">
        <f>IF(MAXA(F74:Q74)&lt;0.5,"&lt;0.5",MAXA(F74:Q74))</f>
        <v>11</v>
      </c>
      <c r="S74" s="339">
        <f>IF(MINA(F74:Q74)&lt;0.5,"&lt;0.5",MINA(F74:Q74))</f>
        <v>4.9000000000000004</v>
      </c>
      <c r="T74" s="505">
        <f>IF(AVERAGEA(F74:Q74)&lt;0.5,"&lt;0.5",AVERAGEA(F74:Q74))</f>
        <v>8.1000000000000014</v>
      </c>
      <c r="U74" s="637"/>
    </row>
    <row r="75" spans="2:22" ht="12" customHeight="1" x14ac:dyDescent="0.15">
      <c r="B75" s="40">
        <v>11</v>
      </c>
      <c r="C75" s="592" t="s">
        <v>514</v>
      </c>
      <c r="D75" s="593"/>
      <c r="E75" s="8" t="s">
        <v>170</v>
      </c>
      <c r="F75" s="185"/>
      <c r="G75" s="185">
        <v>38</v>
      </c>
      <c r="H75" s="185"/>
      <c r="I75" s="185">
        <v>5</v>
      </c>
      <c r="J75" s="172"/>
      <c r="K75" s="185">
        <v>1</v>
      </c>
      <c r="L75" s="370"/>
      <c r="M75" s="385">
        <v>3</v>
      </c>
      <c r="N75" s="441"/>
      <c r="O75" s="447"/>
      <c r="P75" s="478"/>
      <c r="Q75" s="483"/>
      <c r="R75" s="171">
        <f>MAX(F75:Q75)</f>
        <v>38</v>
      </c>
      <c r="S75" s="234">
        <f>MIN(F75:Q75)</f>
        <v>1</v>
      </c>
      <c r="T75" s="502">
        <f>AVERAGEA(F75:Q75)</f>
        <v>11.75</v>
      </c>
      <c r="U75" s="637"/>
    </row>
    <row r="76" spans="2:22" ht="12" customHeight="1" x14ac:dyDescent="0.15">
      <c r="B76" s="40">
        <v>12</v>
      </c>
      <c r="C76" s="592" t="s">
        <v>167</v>
      </c>
      <c r="D76" s="593"/>
      <c r="E76" s="8" t="s">
        <v>170</v>
      </c>
      <c r="F76" s="185"/>
      <c r="G76" s="185">
        <v>29</v>
      </c>
      <c r="H76" s="185"/>
      <c r="I76" s="185">
        <v>8</v>
      </c>
      <c r="J76" s="172"/>
      <c r="K76" s="185">
        <v>2</v>
      </c>
      <c r="L76" s="370"/>
      <c r="M76" s="385">
        <v>4</v>
      </c>
      <c r="N76" s="441"/>
      <c r="O76" s="447"/>
      <c r="P76" s="478"/>
      <c r="Q76" s="483"/>
      <c r="R76" s="171">
        <f>MAX(F76:Q76)</f>
        <v>29</v>
      </c>
      <c r="S76" s="234">
        <f>MIN(F76:Q76)</f>
        <v>2</v>
      </c>
      <c r="T76" s="502">
        <f>AVERAGEA(F76:Q76)</f>
        <v>10.75</v>
      </c>
      <c r="U76" s="637"/>
    </row>
    <row r="77" spans="2:22" ht="12" customHeight="1" x14ac:dyDescent="0.15">
      <c r="B77" s="40">
        <v>13</v>
      </c>
      <c r="C77" s="592" t="s">
        <v>168</v>
      </c>
      <c r="D77" s="593"/>
      <c r="E77" s="30" t="s">
        <v>166</v>
      </c>
      <c r="F77" s="171">
        <v>17</v>
      </c>
      <c r="G77" s="185">
        <v>18</v>
      </c>
      <c r="H77" s="185">
        <v>23</v>
      </c>
      <c r="I77" s="185">
        <v>26</v>
      </c>
      <c r="J77" s="234">
        <v>23</v>
      </c>
      <c r="K77" s="185">
        <v>28</v>
      </c>
      <c r="L77" s="370">
        <v>26</v>
      </c>
      <c r="M77" s="385">
        <v>26</v>
      </c>
      <c r="N77" s="441">
        <v>21</v>
      </c>
      <c r="O77" s="447">
        <v>21</v>
      </c>
      <c r="P77" s="478">
        <v>20</v>
      </c>
      <c r="Q77" s="483">
        <v>21</v>
      </c>
      <c r="R77" s="171">
        <f>IF(MAXA(F77:Q77)&lt;0.5,"&lt;0.5",MAXA(F77:Q77))</f>
        <v>28</v>
      </c>
      <c r="S77" s="234">
        <f>IF(MINA(F77:Q77)&lt;0.5,"&lt;0.5",MINA(F77:Q77))</f>
        <v>17</v>
      </c>
      <c r="T77" s="502">
        <f>IF(AVERAGEA(F77:Q77)&lt;0.5,"&lt;0.5",AVERAGEA(F77:Q77))</f>
        <v>22.5</v>
      </c>
      <c r="U77" s="637"/>
    </row>
    <row r="78" spans="2:22" ht="12" customHeight="1" x14ac:dyDescent="0.15">
      <c r="B78" s="39">
        <v>14</v>
      </c>
      <c r="C78" s="592" t="s">
        <v>169</v>
      </c>
      <c r="D78" s="593"/>
      <c r="E78" s="8" t="s">
        <v>166</v>
      </c>
      <c r="F78" s="162"/>
      <c r="G78" s="178" t="s">
        <v>518</v>
      </c>
      <c r="H78" s="301"/>
      <c r="I78" s="178" t="s">
        <v>310</v>
      </c>
      <c r="J78" s="94"/>
      <c r="K78" s="178" t="s">
        <v>310</v>
      </c>
      <c r="L78" s="178"/>
      <c r="M78" s="178" t="s">
        <v>468</v>
      </c>
      <c r="N78" s="94"/>
      <c r="O78" s="94"/>
      <c r="P78" s="94"/>
      <c r="Q78" s="481"/>
      <c r="R78" s="430" t="str">
        <f>IF(MAXA(F78:Q78)&lt;0.1,"&lt;0.1",MAXA(F78:Q78))</f>
        <v>&lt;0.1</v>
      </c>
      <c r="S78" s="303" t="str">
        <f>IF(MINA(F78:Q78)&lt;0.1,"&lt;0.1",MINA(F78:Q78))</f>
        <v>&lt;0.1</v>
      </c>
      <c r="T78" s="503" t="str">
        <f>IF(AVERAGEA(F78:Q78)&lt;0.1,"&lt;0.1",AVERAGEA(F78:Q78))</f>
        <v>&lt;0.1</v>
      </c>
      <c r="U78" s="637"/>
    </row>
    <row r="79" spans="2:22" ht="12" customHeight="1" x14ac:dyDescent="0.15">
      <c r="B79" s="39">
        <v>15</v>
      </c>
      <c r="C79" s="651" t="s">
        <v>25</v>
      </c>
      <c r="D79" s="652"/>
      <c r="E79" s="30" t="s">
        <v>248</v>
      </c>
      <c r="F79" s="190">
        <v>4.5</v>
      </c>
      <c r="G79" s="189">
        <v>26</v>
      </c>
      <c r="H79" s="302">
        <v>4.5</v>
      </c>
      <c r="I79" s="302">
        <v>7.8</v>
      </c>
      <c r="J79" s="162">
        <v>350</v>
      </c>
      <c r="K79" s="302">
        <v>2</v>
      </c>
      <c r="L79" s="302">
        <v>4.5</v>
      </c>
      <c r="M79" s="302">
        <v>7.8</v>
      </c>
      <c r="N79" s="189" t="s">
        <v>607</v>
      </c>
      <c r="O79" s="302" t="s">
        <v>318</v>
      </c>
      <c r="P79" s="302" t="s">
        <v>318</v>
      </c>
      <c r="Q79" s="493" t="s">
        <v>318</v>
      </c>
      <c r="R79" s="205">
        <f>IF(MAXA(F79:Q79)&lt;1.8,"&lt;1.8",MAXA(F79:Q79))</f>
        <v>350</v>
      </c>
      <c r="S79" s="346" t="str">
        <f>IF(MINA(F79:Q79)&lt;1.8,"&lt;1.8",MINA(F79:Q79))</f>
        <v>&lt;1.8</v>
      </c>
      <c r="T79" s="504">
        <f>IF(AVERAGEA(F79:Q79)&lt;1.8,"&lt;1.8",AVERAGEA(F79:Q79))</f>
        <v>33.925000000000004</v>
      </c>
      <c r="U79" s="637"/>
    </row>
    <row r="80" spans="2:22" ht="12" customHeight="1" thickBot="1" x14ac:dyDescent="0.2">
      <c r="B80" s="70">
        <v>16</v>
      </c>
      <c r="C80" s="600" t="s">
        <v>249</v>
      </c>
      <c r="D80" s="601"/>
      <c r="E80" s="36" t="s">
        <v>267</v>
      </c>
      <c r="F80" s="231">
        <v>0</v>
      </c>
      <c r="G80" s="240">
        <v>0</v>
      </c>
      <c r="H80" s="240">
        <v>0</v>
      </c>
      <c r="I80" s="240">
        <v>0</v>
      </c>
      <c r="J80" s="347">
        <v>0</v>
      </c>
      <c r="K80" s="240">
        <v>0</v>
      </c>
      <c r="L80" s="240">
        <v>0</v>
      </c>
      <c r="M80" s="240">
        <v>0</v>
      </c>
      <c r="N80" s="240">
        <v>0</v>
      </c>
      <c r="O80" s="240">
        <v>0</v>
      </c>
      <c r="P80" s="240">
        <v>0</v>
      </c>
      <c r="Q80" s="494">
        <v>0</v>
      </c>
      <c r="R80" s="506">
        <f>IF(MAXA(F80:Q80)&lt;0,"&lt;0",MAXA(F80:Q80))</f>
        <v>0</v>
      </c>
      <c r="S80" s="507">
        <f>IF(MINA(F80:Q80)&lt;0,"&lt;0",MINA(F80:Q80))</f>
        <v>0</v>
      </c>
      <c r="T80" s="508">
        <f>IF(AVERAGEA(F80:Q80)&lt;0,"&lt;0",AVERAGEA(F80:Q80))</f>
        <v>0</v>
      </c>
      <c r="U80" s="638"/>
    </row>
    <row r="81" spans="2:21" ht="15" customHeight="1" thickBot="1" x14ac:dyDescent="0.2">
      <c r="B81" s="603" t="s">
        <v>127</v>
      </c>
      <c r="C81" s="604"/>
      <c r="D81" s="604"/>
      <c r="E81" s="605"/>
      <c r="F81" s="191" t="s">
        <v>555</v>
      </c>
      <c r="G81" s="215" t="s">
        <v>243</v>
      </c>
      <c r="H81" s="215" t="s">
        <v>205</v>
      </c>
      <c r="I81" s="215" t="s">
        <v>196</v>
      </c>
      <c r="J81" s="215" t="s">
        <v>205</v>
      </c>
      <c r="K81" s="215" t="s">
        <v>243</v>
      </c>
      <c r="L81" s="215" t="s">
        <v>205</v>
      </c>
      <c r="M81" s="215" t="s">
        <v>243</v>
      </c>
      <c r="N81" s="215" t="s">
        <v>205</v>
      </c>
      <c r="O81" s="215" t="s">
        <v>205</v>
      </c>
      <c r="P81" s="215" t="s">
        <v>205</v>
      </c>
      <c r="Q81" s="402" t="s">
        <v>205</v>
      </c>
      <c r="R81" s="103"/>
      <c r="S81" s="95"/>
      <c r="T81" s="95"/>
    </row>
    <row r="82" spans="2:21" ht="12" customHeight="1" x14ac:dyDescent="0.15">
      <c r="B82" s="4"/>
      <c r="C82" s="1"/>
      <c r="D82" s="1"/>
      <c r="E82" s="4"/>
      <c r="F82" s="77"/>
      <c r="G82" s="77"/>
      <c r="H82" s="77"/>
      <c r="I82" s="77"/>
      <c r="J82" s="77"/>
      <c r="K82" s="77"/>
      <c r="L82" s="77"/>
      <c r="M82" s="77"/>
      <c r="N82" s="77"/>
      <c r="O82" s="77"/>
      <c r="P82" s="77"/>
      <c r="Q82" s="77"/>
      <c r="R82" s="602"/>
      <c r="S82" s="602"/>
      <c r="T82" s="602"/>
    </row>
    <row r="83" spans="2:21" ht="12" customHeight="1" x14ac:dyDescent="0.15">
      <c r="B83" s="4"/>
      <c r="C83" s="3" t="s">
        <v>495</v>
      </c>
      <c r="D83" s="1"/>
      <c r="E83" s="1"/>
      <c r="F83" s="1"/>
      <c r="G83" s="1"/>
      <c r="H83" s="1"/>
      <c r="I83" s="1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1"/>
    </row>
    <row r="84" spans="2:21" ht="10.15" customHeight="1" x14ac:dyDescent="0.15">
      <c r="B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</row>
  </sheetData>
  <mergeCells count="100">
    <mergeCell ref="B1:Q1"/>
    <mergeCell ref="R82:T82"/>
    <mergeCell ref="C66:D66"/>
    <mergeCell ref="C67:D67"/>
    <mergeCell ref="C68:D68"/>
    <mergeCell ref="C69:D69"/>
    <mergeCell ref="C75:D75"/>
    <mergeCell ref="C76:D76"/>
    <mergeCell ref="C73:D73"/>
    <mergeCell ref="C74:D74"/>
    <mergeCell ref="B81:E81"/>
    <mergeCell ref="C65:D65"/>
    <mergeCell ref="C70:D70"/>
    <mergeCell ref="C71:D71"/>
    <mergeCell ref="C72:D72"/>
    <mergeCell ref="C79:D79"/>
    <mergeCell ref="C80:D80"/>
    <mergeCell ref="D9:E9"/>
    <mergeCell ref="B6:C11"/>
    <mergeCell ref="D10:E10"/>
    <mergeCell ref="D11:E11"/>
    <mergeCell ref="D6:E6"/>
    <mergeCell ref="D7:E7"/>
    <mergeCell ref="C22:D22"/>
    <mergeCell ref="C23:D23"/>
    <mergeCell ref="C24:D24"/>
    <mergeCell ref="C18:D18"/>
    <mergeCell ref="C20:D20"/>
    <mergeCell ref="C36:D36"/>
    <mergeCell ref="C37:D37"/>
    <mergeCell ref="C38:D38"/>
    <mergeCell ref="C39:D39"/>
    <mergeCell ref="U53:U57"/>
    <mergeCell ref="C25:D25"/>
    <mergeCell ref="C26:D26"/>
    <mergeCell ref="C27:D27"/>
    <mergeCell ref="C28:D28"/>
    <mergeCell ref="C29:D29"/>
    <mergeCell ref="C30:D30"/>
    <mergeCell ref="U51:U52"/>
    <mergeCell ref="U26:U32"/>
    <mergeCell ref="U33:U43"/>
    <mergeCell ref="C31:D31"/>
    <mergeCell ref="C32:D32"/>
    <mergeCell ref="C34:D34"/>
    <mergeCell ref="C33:D33"/>
    <mergeCell ref="C35:D35"/>
    <mergeCell ref="C40:D40"/>
    <mergeCell ref="G3:K3"/>
    <mergeCell ref="U13:U14"/>
    <mergeCell ref="U15:U20"/>
    <mergeCell ref="R6:R9"/>
    <mergeCell ref="S6:S9"/>
    <mergeCell ref="G4:K4"/>
    <mergeCell ref="R12:T12"/>
    <mergeCell ref="F12:Q12"/>
    <mergeCell ref="U6:U11"/>
    <mergeCell ref="T6:T9"/>
    <mergeCell ref="B4:C4"/>
    <mergeCell ref="C14:D14"/>
    <mergeCell ref="C15:D15"/>
    <mergeCell ref="D8:E8"/>
    <mergeCell ref="C19:D19"/>
    <mergeCell ref="B12:D12"/>
    <mergeCell ref="C13:D13"/>
    <mergeCell ref="C16:D16"/>
    <mergeCell ref="C17:D17"/>
    <mergeCell ref="C41:D41"/>
    <mergeCell ref="C42:D42"/>
    <mergeCell ref="C50:D50"/>
    <mergeCell ref="C43:D43"/>
    <mergeCell ref="C44:D44"/>
    <mergeCell ref="C51:D51"/>
    <mergeCell ref="C52:D52"/>
    <mergeCell ref="C45:D45"/>
    <mergeCell ref="C46:D46"/>
    <mergeCell ref="C47:D47"/>
    <mergeCell ref="C48:D48"/>
    <mergeCell ref="C49:D49"/>
    <mergeCell ref="C53:D53"/>
    <mergeCell ref="C54:D54"/>
    <mergeCell ref="C55:D55"/>
    <mergeCell ref="C56:D56"/>
    <mergeCell ref="C78:D78"/>
    <mergeCell ref="C21:D21"/>
    <mergeCell ref="U58:U63"/>
    <mergeCell ref="C77:D77"/>
    <mergeCell ref="B64:D64"/>
    <mergeCell ref="F64:Q64"/>
    <mergeCell ref="R64:T64"/>
    <mergeCell ref="C63:D63"/>
    <mergeCell ref="C60:D60"/>
    <mergeCell ref="C61:D61"/>
    <mergeCell ref="C62:D62"/>
    <mergeCell ref="U21:U25"/>
    <mergeCell ref="U44:U49"/>
    <mergeCell ref="U65:U80"/>
    <mergeCell ref="C57:D57"/>
    <mergeCell ref="C58:D58"/>
    <mergeCell ref="C59:D59"/>
  </mergeCells>
  <phoneticPr fontId="4"/>
  <printOptions horizontalCentered="1"/>
  <pageMargins left="0.70866141732283472" right="0.70866141732283472" top="0.59055118110236227" bottom="0.19685039370078741" header="0" footer="0"/>
  <pageSetup paperSize="9" scale="5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2">
    <pageSetUpPr fitToPage="1"/>
  </sheetPr>
  <dimension ref="B1:T63"/>
  <sheetViews>
    <sheetView zoomScaleNormal="100" zoomScaleSheetLayoutView="100" workbookViewId="0"/>
  </sheetViews>
  <sheetFormatPr defaultColWidth="8.875" defaultRowHeight="10.15" customHeight="1" x14ac:dyDescent="0.15"/>
  <cols>
    <col min="1" max="1" width="2.625" style="3" customWidth="1"/>
    <col min="2" max="2" width="2.375" style="3" customWidth="1"/>
    <col min="3" max="3" width="7" style="3" customWidth="1"/>
    <col min="4" max="4" width="19.25" style="3" customWidth="1"/>
    <col min="5" max="5" width="16.125" style="3" customWidth="1"/>
    <col min="6" max="16" width="7.625" style="3" customWidth="1"/>
    <col min="17" max="17" width="11.625" style="3" customWidth="1"/>
    <col min="18" max="18" width="3.5" style="3" customWidth="1"/>
    <col min="19" max="19" width="8.875" style="3"/>
    <col min="20" max="20" width="0" style="3" hidden="1" customWidth="1"/>
    <col min="21" max="16384" width="8.875" style="3"/>
  </cols>
  <sheetData>
    <row r="1" spans="2:20" ht="20.100000000000001" customHeight="1" x14ac:dyDescent="0.15">
      <c r="B1" s="551" t="s">
        <v>571</v>
      </c>
      <c r="C1" s="551"/>
      <c r="D1" s="551"/>
      <c r="E1" s="551"/>
      <c r="F1" s="551"/>
      <c r="G1" s="551"/>
      <c r="H1" s="551"/>
      <c r="I1" s="551"/>
      <c r="J1" s="551"/>
      <c r="K1" s="551"/>
      <c r="L1" s="551"/>
      <c r="M1" s="551"/>
      <c r="N1" s="551"/>
      <c r="O1" s="551"/>
      <c r="P1" s="551"/>
      <c r="Q1" s="551"/>
    </row>
    <row r="2" spans="2:20" ht="15" customHeight="1" thickBot="1" x14ac:dyDescent="0.2"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2:20" ht="19.149999999999999" customHeight="1" thickBot="1" x14ac:dyDescent="0.2">
      <c r="B3" s="20"/>
      <c r="D3" s="17"/>
      <c r="F3" s="41" t="s">
        <v>7</v>
      </c>
      <c r="G3" s="552" t="s">
        <v>8</v>
      </c>
      <c r="H3" s="553"/>
      <c r="I3" s="553"/>
      <c r="J3" s="553"/>
      <c r="K3" s="553"/>
      <c r="L3" s="553"/>
      <c r="M3" s="554"/>
      <c r="N3" s="37"/>
      <c r="O3" s="33"/>
      <c r="P3" s="33"/>
      <c r="Q3" s="33"/>
    </row>
    <row r="4" spans="2:20" ht="19.149999999999999" customHeight="1" thickBot="1" x14ac:dyDescent="0.2">
      <c r="B4" s="555" t="s">
        <v>23</v>
      </c>
      <c r="C4" s="556"/>
      <c r="D4" s="31" t="s">
        <v>157</v>
      </c>
      <c r="F4" s="42"/>
      <c r="G4" s="557" t="s">
        <v>135</v>
      </c>
      <c r="H4" s="558"/>
      <c r="I4" s="558"/>
      <c r="J4" s="558"/>
      <c r="K4" s="558"/>
      <c r="L4" s="558"/>
      <c r="M4" s="559"/>
      <c r="N4" s="38"/>
      <c r="O4" s="34"/>
      <c r="P4" s="34"/>
      <c r="Q4" s="34"/>
    </row>
    <row r="5" spans="2:20" ht="10.15" customHeight="1" thickBot="1" x14ac:dyDescent="0.2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2:20" ht="14.1" customHeight="1" x14ac:dyDescent="0.15">
      <c r="B6" s="560" t="s">
        <v>5</v>
      </c>
      <c r="C6" s="561"/>
      <c r="D6" s="679" t="s">
        <v>17</v>
      </c>
      <c r="E6" s="680"/>
      <c r="F6" s="232">
        <f>'原水（基準等） '!F6</f>
        <v>45028</v>
      </c>
      <c r="G6" s="232">
        <f>'原水（基準等） '!G6</f>
        <v>45056</v>
      </c>
      <c r="H6" s="232">
        <f>'原水（基準等） '!H6</f>
        <v>45084</v>
      </c>
      <c r="I6" s="232">
        <f>'原水（基準等） '!I6</f>
        <v>45112</v>
      </c>
      <c r="J6" s="232">
        <f>'原水（基準等） '!J6</f>
        <v>45140</v>
      </c>
      <c r="K6" s="232">
        <f>'原水（基準等） '!K6</f>
        <v>45175</v>
      </c>
      <c r="L6" s="365">
        <f>'原水（基準等） '!L6</f>
        <v>45203</v>
      </c>
      <c r="M6" s="446">
        <f>'原水（基準等） '!O6</f>
        <v>45301</v>
      </c>
      <c r="N6" s="673" t="s">
        <v>0</v>
      </c>
      <c r="O6" s="676" t="s">
        <v>1</v>
      </c>
      <c r="P6" s="617" t="s">
        <v>2</v>
      </c>
      <c r="Q6" s="671" t="s">
        <v>83</v>
      </c>
      <c r="R6" s="4"/>
    </row>
    <row r="7" spans="2:20" ht="14.1" customHeight="1" x14ac:dyDescent="0.15">
      <c r="B7" s="562"/>
      <c r="C7" s="563"/>
      <c r="D7" s="666" t="s">
        <v>18</v>
      </c>
      <c r="E7" s="667"/>
      <c r="F7" s="169">
        <f>'原水（基準等） '!F7</f>
        <v>0.3611111111111111</v>
      </c>
      <c r="G7" s="169">
        <f>'原水（基準等） '!G7</f>
        <v>0.36180555555555555</v>
      </c>
      <c r="H7" s="169">
        <f>'原水（基準等） '!H7</f>
        <v>0.35625000000000001</v>
      </c>
      <c r="I7" s="169">
        <f>'原水（基準等） '!I7</f>
        <v>0.35833333333333334</v>
      </c>
      <c r="J7" s="169">
        <f>'原水（基準等） '!J7</f>
        <v>0.36249999999999999</v>
      </c>
      <c r="K7" s="169">
        <f>'原水（基準等） '!K7</f>
        <v>0.36319444444444443</v>
      </c>
      <c r="L7" s="169">
        <f>'原水（基準等） '!L7</f>
        <v>0.36041666666666666</v>
      </c>
      <c r="M7" s="406">
        <f>'原水（基準等） '!O7</f>
        <v>0.3659722222222222</v>
      </c>
      <c r="N7" s="674"/>
      <c r="O7" s="677"/>
      <c r="P7" s="618"/>
      <c r="Q7" s="672"/>
      <c r="R7" s="4"/>
    </row>
    <row r="8" spans="2:20" ht="14.1" customHeight="1" x14ac:dyDescent="0.15">
      <c r="B8" s="562"/>
      <c r="C8" s="563"/>
      <c r="D8" s="666" t="s">
        <v>19</v>
      </c>
      <c r="E8" s="668"/>
      <c r="F8" s="251" t="str">
        <f>'原水（基準等） '!F8</f>
        <v>晴</v>
      </c>
      <c r="G8" s="251" t="str">
        <f>'原水（基準等） '!G8</f>
        <v>晴</v>
      </c>
      <c r="H8" s="251" t="str">
        <f>'原水（基準等） '!H8</f>
        <v>晴</v>
      </c>
      <c r="I8" s="251" t="str">
        <f>'原水（基準等） '!I8</f>
        <v>曇</v>
      </c>
      <c r="J8" s="251" t="str">
        <f>'原水（基準等） '!J8</f>
        <v>晴</v>
      </c>
      <c r="K8" s="251" t="str">
        <f>'原水（基準等） '!K8</f>
        <v>曇</v>
      </c>
      <c r="L8" s="251" t="str">
        <f>'原水（基準等） '!L8</f>
        <v>晴</v>
      </c>
      <c r="M8" s="406" t="str">
        <f>'原水（基準等） '!O8</f>
        <v>雪</v>
      </c>
      <c r="N8" s="674"/>
      <c r="O8" s="677"/>
      <c r="P8" s="618"/>
      <c r="Q8" s="672"/>
      <c r="R8" s="4"/>
    </row>
    <row r="9" spans="2:20" ht="14.1" customHeight="1" x14ac:dyDescent="0.15">
      <c r="B9" s="562"/>
      <c r="C9" s="563"/>
      <c r="D9" s="655" t="s">
        <v>20</v>
      </c>
      <c r="E9" s="669"/>
      <c r="F9" s="251" t="str">
        <f>'原水（基準等） '!F9</f>
        <v>雨</v>
      </c>
      <c r="G9" s="251" t="str">
        <f>'原水（基準等） '!G9</f>
        <v>晴</v>
      </c>
      <c r="H9" s="251" t="str">
        <f>'原水（基準等） '!H9</f>
        <v>曇</v>
      </c>
      <c r="I9" s="251" t="str">
        <f>'原水（基準等） '!I9</f>
        <v>晴</v>
      </c>
      <c r="J9" s="251" t="str">
        <f>'原水（基準等） '!J9</f>
        <v>曇</v>
      </c>
      <c r="K9" s="251" t="str">
        <f>'原水（基準等） '!K9</f>
        <v>雨</v>
      </c>
      <c r="L9" s="251" t="str">
        <f>'原水（基準等） '!L9</f>
        <v>曇</v>
      </c>
      <c r="M9" s="406" t="str">
        <f>'原水（基準等） '!O9</f>
        <v>雪</v>
      </c>
      <c r="N9" s="675"/>
      <c r="O9" s="678"/>
      <c r="P9" s="648"/>
      <c r="Q9" s="672"/>
      <c r="R9" s="4"/>
    </row>
    <row r="10" spans="2:20" ht="14.1" customHeight="1" x14ac:dyDescent="0.15">
      <c r="B10" s="562"/>
      <c r="C10" s="563"/>
      <c r="D10" s="655" t="s">
        <v>21</v>
      </c>
      <c r="E10" s="656"/>
      <c r="F10" s="108">
        <f>'原水（基準等） '!F10</f>
        <v>10.3</v>
      </c>
      <c r="G10" s="108">
        <f>'原水（基準等） '!G10</f>
        <v>14</v>
      </c>
      <c r="H10" s="108">
        <f>'原水（基準等） '!H10</f>
        <v>21.4</v>
      </c>
      <c r="I10" s="108">
        <f>'原水（基準等） '!I10</f>
        <v>23.7</v>
      </c>
      <c r="J10" s="108">
        <f>'原水（基準等） '!J10</f>
        <v>27.8</v>
      </c>
      <c r="K10" s="108">
        <f>'原水（基準等） '!K10</f>
        <v>24.5</v>
      </c>
      <c r="L10" s="108">
        <f>'原水（基準等） '!L10</f>
        <v>19</v>
      </c>
      <c r="M10" s="462">
        <f>'原水（基準等） '!O10</f>
        <v>0.5</v>
      </c>
      <c r="N10" s="84"/>
      <c r="O10" s="85"/>
      <c r="P10" s="86"/>
      <c r="Q10" s="672"/>
      <c r="R10" s="4"/>
    </row>
    <row r="11" spans="2:20" ht="14.1" customHeight="1" thickBot="1" x14ac:dyDescent="0.2">
      <c r="B11" s="562"/>
      <c r="C11" s="563"/>
      <c r="D11" s="655" t="s">
        <v>264</v>
      </c>
      <c r="E11" s="656"/>
      <c r="F11" s="91">
        <f>'原水（基準等） '!F11</f>
        <v>7.8</v>
      </c>
      <c r="G11" s="91">
        <f>'原水（基準等） '!G11</f>
        <v>9.8000000000000007</v>
      </c>
      <c r="H11" s="91">
        <f>'原水（基準等） '!H11</f>
        <v>15.1</v>
      </c>
      <c r="I11" s="91">
        <f>'原水（基準等） '!I11</f>
        <v>19.100000000000001</v>
      </c>
      <c r="J11" s="91">
        <f>'原水（基準等） '!J11</f>
        <v>20.399999999999999</v>
      </c>
      <c r="K11" s="91">
        <f>'原水（基準等） '!K11</f>
        <v>14.5</v>
      </c>
      <c r="L11" s="91">
        <f>'原水（基準等） '!L11</f>
        <v>18.600000000000001</v>
      </c>
      <c r="M11" s="395">
        <f>'原水（基準等） '!O11</f>
        <v>5.4</v>
      </c>
      <c r="N11" s="84"/>
      <c r="O11" s="85"/>
      <c r="P11" s="86"/>
      <c r="Q11" s="672"/>
      <c r="R11" s="4"/>
    </row>
    <row r="12" spans="2:20" ht="14.1" customHeight="1" x14ac:dyDescent="0.15">
      <c r="B12" s="584" t="s">
        <v>82</v>
      </c>
      <c r="C12" s="585"/>
      <c r="D12" s="585"/>
      <c r="E12" s="35" t="s">
        <v>86</v>
      </c>
      <c r="F12" s="587" t="s">
        <v>3</v>
      </c>
      <c r="G12" s="585"/>
      <c r="H12" s="585"/>
      <c r="I12" s="585"/>
      <c r="J12" s="585"/>
      <c r="K12" s="585"/>
      <c r="L12" s="585"/>
      <c r="M12" s="588"/>
      <c r="N12" s="587"/>
      <c r="O12" s="585"/>
      <c r="P12" s="588"/>
      <c r="Q12" s="44"/>
      <c r="R12" s="4"/>
      <c r="T12" s="3" t="s">
        <v>211</v>
      </c>
    </row>
    <row r="13" spans="2:20" ht="14.1" customHeight="1" x14ac:dyDescent="0.15">
      <c r="B13" s="18">
        <v>1</v>
      </c>
      <c r="C13" s="651" t="s">
        <v>69</v>
      </c>
      <c r="D13" s="652"/>
      <c r="E13" s="43" t="s">
        <v>96</v>
      </c>
      <c r="F13" s="192" t="s">
        <v>307</v>
      </c>
      <c r="G13" s="241"/>
      <c r="H13" s="270"/>
      <c r="I13" s="237" t="s">
        <v>307</v>
      </c>
      <c r="J13" s="343"/>
      <c r="K13" s="343"/>
      <c r="L13" s="237" t="s">
        <v>307</v>
      </c>
      <c r="M13" s="237" t="s">
        <v>307</v>
      </c>
      <c r="N13" s="192" t="str">
        <f>IF(MAXA(F13:M13)&lt;0.002,"&lt;0.002",MAXA(F13:M13))</f>
        <v>&lt;0.002</v>
      </c>
      <c r="O13" s="271" t="str">
        <f>IF(MINA(F13:M13)&lt;0.002,"&lt;0.002",MINA(F13:M13))</f>
        <v>&lt;0.002</v>
      </c>
      <c r="P13" s="467" t="str">
        <f>IF(AVERAGEA(F13:M13)&lt;0.002,"&lt;0.002",AVERAGEA(F13:M13))</f>
        <v>&lt;0.002</v>
      </c>
      <c r="Q13" s="670" t="s">
        <v>84</v>
      </c>
      <c r="R13" s="2"/>
      <c r="T13" s="3">
        <v>1E-3</v>
      </c>
    </row>
    <row r="14" spans="2:20" ht="14.1" customHeight="1" x14ac:dyDescent="0.15">
      <c r="B14" s="13">
        <f>B13+1</f>
        <v>2</v>
      </c>
      <c r="C14" s="592" t="s">
        <v>70</v>
      </c>
      <c r="D14" s="593"/>
      <c r="E14" s="11" t="s">
        <v>87</v>
      </c>
      <c r="F14" s="176" t="s">
        <v>311</v>
      </c>
      <c r="G14" s="242"/>
      <c r="H14" s="270"/>
      <c r="I14" s="237" t="s">
        <v>311</v>
      </c>
      <c r="J14" s="237"/>
      <c r="K14" s="237"/>
      <c r="L14" s="237" t="s">
        <v>311</v>
      </c>
      <c r="M14" s="237" t="s">
        <v>311</v>
      </c>
      <c r="N14" s="176" t="str">
        <f>IF(MAXA(F14:M14)&lt;0.0002,"&lt;0.0002",MAXA(F14:M14))</f>
        <v>&lt;0.0002</v>
      </c>
      <c r="O14" s="270" t="str">
        <f>IF(MINA(F14:M14)&lt;0.0002,"&lt;0.0002",MINA(F14:M14))</f>
        <v>&lt;0.0002</v>
      </c>
      <c r="P14" s="397" t="str">
        <f>IF(AVERAGEA(F14:M14)&lt;0.0002,"&lt;0.0002",AVERAGEA(F14:M14))</f>
        <v>&lt;0.0002</v>
      </c>
      <c r="Q14" s="670"/>
      <c r="R14" s="2"/>
      <c r="T14" s="3">
        <v>2.0000000000000001E-4</v>
      </c>
    </row>
    <row r="15" spans="2:20" ht="14.1" customHeight="1" x14ac:dyDescent="0.15">
      <c r="B15" s="13">
        <f>B14+1</f>
        <v>3</v>
      </c>
      <c r="C15" s="592" t="s">
        <v>71</v>
      </c>
      <c r="D15" s="593"/>
      <c r="E15" s="11" t="s">
        <v>96</v>
      </c>
      <c r="F15" s="173" t="s">
        <v>307</v>
      </c>
      <c r="G15" s="243"/>
      <c r="H15" s="265"/>
      <c r="I15" s="179" t="s">
        <v>307</v>
      </c>
      <c r="J15" s="179"/>
      <c r="K15" s="179"/>
      <c r="L15" s="179" t="s">
        <v>307</v>
      </c>
      <c r="M15" s="179" t="s">
        <v>307</v>
      </c>
      <c r="N15" s="173" t="str">
        <f>IF(MAXA(F15:M15)&lt;0.002,"&lt;0.002",MAXA(F15:M15))</f>
        <v>&lt;0.002</v>
      </c>
      <c r="O15" s="265" t="str">
        <f>IF(MINA(F15:M15)&lt;0.002,"&lt;0.002",MINA(F15:M15))</f>
        <v>&lt;0.002</v>
      </c>
      <c r="P15" s="393" t="str">
        <f>IF(AVERAGEA(F15:M15)&lt;0.002,"&lt;0.002",AVERAGEA(F15:M15))</f>
        <v>&lt;0.002</v>
      </c>
      <c r="Q15" s="670"/>
      <c r="R15" s="2"/>
      <c r="T15" s="3">
        <v>1E-3</v>
      </c>
    </row>
    <row r="16" spans="2:20" ht="14.1" customHeight="1" x14ac:dyDescent="0.15">
      <c r="B16" s="13">
        <v>4</v>
      </c>
      <c r="C16" s="592" t="s">
        <v>150</v>
      </c>
      <c r="D16" s="593"/>
      <c r="E16" s="11" t="s">
        <v>208</v>
      </c>
      <c r="F16" s="176" t="s">
        <v>319</v>
      </c>
      <c r="G16" s="242"/>
      <c r="H16" s="270"/>
      <c r="I16" s="237" t="s">
        <v>319</v>
      </c>
      <c r="J16" s="237"/>
      <c r="K16" s="237"/>
      <c r="L16" s="237" t="s">
        <v>319</v>
      </c>
      <c r="M16" s="237" t="s">
        <v>319</v>
      </c>
      <c r="N16" s="176" t="str">
        <f>IF(MAXA(F16:M16)&lt;0.0004,"&lt;0.0004",MAXA(F16:M16))</f>
        <v>&lt;0.0004</v>
      </c>
      <c r="O16" s="270" t="str">
        <f>IF(MINA(F16:M16)&lt;0.0004,"&lt;0.0004",MINA(F16:M16))</f>
        <v>&lt;0.0004</v>
      </c>
      <c r="P16" s="397" t="str">
        <f>IF(AVERAGEA(F16:M16)&lt;0.0004,"&lt;0.0004",AVERAGEA(F16:M16))</f>
        <v>&lt;0.0004</v>
      </c>
      <c r="Q16" s="595" t="s">
        <v>62</v>
      </c>
      <c r="R16" s="2"/>
      <c r="T16" s="3">
        <v>4.0000000000000002E-4</v>
      </c>
    </row>
    <row r="17" spans="2:20" ht="14.1" customHeight="1" x14ac:dyDescent="0.15">
      <c r="B17" s="13">
        <v>5</v>
      </c>
      <c r="C17" s="592" t="s">
        <v>151</v>
      </c>
      <c r="D17" s="593"/>
      <c r="E17" s="11" t="s">
        <v>270</v>
      </c>
      <c r="F17" s="173" t="s">
        <v>320</v>
      </c>
      <c r="G17" s="243"/>
      <c r="H17" s="265"/>
      <c r="I17" s="179" t="s">
        <v>320</v>
      </c>
      <c r="J17" s="179"/>
      <c r="K17" s="179"/>
      <c r="L17" s="179" t="s">
        <v>320</v>
      </c>
      <c r="M17" s="179" t="s">
        <v>320</v>
      </c>
      <c r="N17" s="173" t="str">
        <f>IF(MAXA(F17:M17)&lt;0.04,"&lt;0.04",MAXA(F17:M17))</f>
        <v>&lt;0.04</v>
      </c>
      <c r="O17" s="265" t="str">
        <f>IF(MINA(F17:M17)&lt;0.04,"&lt;0.04",MINA(F17:M17))</f>
        <v>&lt;0.04</v>
      </c>
      <c r="P17" s="393" t="str">
        <f>IF(AVERAGEA(F17:M17)&lt;0.04,"&lt;0.04",AVERAGEA(F17:M17))</f>
        <v>&lt;0.04</v>
      </c>
      <c r="Q17" s="595"/>
      <c r="R17" s="2"/>
      <c r="T17" s="3">
        <v>1E-3</v>
      </c>
    </row>
    <row r="18" spans="2:20" ht="14.1" customHeight="1" x14ac:dyDescent="0.15">
      <c r="B18" s="13">
        <v>6</v>
      </c>
      <c r="C18" s="592" t="s">
        <v>72</v>
      </c>
      <c r="D18" s="593"/>
      <c r="E18" s="11" t="s">
        <v>116</v>
      </c>
      <c r="F18" s="173" t="s">
        <v>321</v>
      </c>
      <c r="G18" s="243"/>
      <c r="H18" s="265"/>
      <c r="I18" s="179" t="s">
        <v>321</v>
      </c>
      <c r="J18" s="179"/>
      <c r="K18" s="179"/>
      <c r="L18" s="179" t="s">
        <v>321</v>
      </c>
      <c r="M18" s="179" t="s">
        <v>321</v>
      </c>
      <c r="N18" s="173" t="str">
        <f>IF(MAXA(F18:M18)&lt;0.008,"&lt;0.008",MAXA(F18:M18))</f>
        <v>&lt;0.008</v>
      </c>
      <c r="O18" s="265" t="str">
        <f>IF(MINA(F18:M18)&lt;0.008,"&lt;0.008",MINA(F18:M18))</f>
        <v>&lt;0.008</v>
      </c>
      <c r="P18" s="393" t="str">
        <f>IF(AVERAGEA(F18:M18)&lt;0.008,"&lt;0.008",AVERAGEA(F18:M18))</f>
        <v>&lt;0.008</v>
      </c>
      <c r="Q18" s="595"/>
      <c r="R18" s="2"/>
      <c r="T18" s="3">
        <v>5.0000000000000001E-3</v>
      </c>
    </row>
    <row r="19" spans="2:20" ht="14.1" customHeight="1" x14ac:dyDescent="0.15">
      <c r="B19" s="13">
        <v>7</v>
      </c>
      <c r="C19" s="592" t="s">
        <v>73</v>
      </c>
      <c r="D19" s="593"/>
      <c r="E19" s="11" t="s">
        <v>91</v>
      </c>
      <c r="F19" s="170"/>
      <c r="G19" s="244"/>
      <c r="H19" s="91"/>
      <c r="I19" s="91"/>
      <c r="J19" s="91"/>
      <c r="K19" s="91"/>
      <c r="L19" s="91"/>
      <c r="M19" s="91"/>
      <c r="N19" s="170"/>
      <c r="O19" s="461"/>
      <c r="P19" s="395"/>
      <c r="Q19" s="594" t="s">
        <v>501</v>
      </c>
      <c r="R19" s="2"/>
    </row>
    <row r="20" spans="2:20" ht="14.1" customHeight="1" x14ac:dyDescent="0.15">
      <c r="B20" s="13">
        <v>8</v>
      </c>
      <c r="C20" s="592" t="s">
        <v>74</v>
      </c>
      <c r="D20" s="593"/>
      <c r="E20" s="11" t="s">
        <v>91</v>
      </c>
      <c r="F20" s="170"/>
      <c r="G20" s="244"/>
      <c r="H20" s="91"/>
      <c r="I20" s="91"/>
      <c r="J20" s="91"/>
      <c r="K20" s="91"/>
      <c r="L20" s="91"/>
      <c r="M20" s="451"/>
      <c r="N20" s="170"/>
      <c r="O20" s="461"/>
      <c r="P20" s="395"/>
      <c r="Q20" s="596"/>
      <c r="R20" s="2"/>
    </row>
    <row r="21" spans="2:20" ht="14.1" customHeight="1" x14ac:dyDescent="0.15">
      <c r="B21" s="13">
        <v>9</v>
      </c>
      <c r="C21" s="592" t="s">
        <v>152</v>
      </c>
      <c r="D21" s="593"/>
      <c r="E21" s="11" t="s">
        <v>257</v>
      </c>
      <c r="F21" s="173"/>
      <c r="G21" s="243"/>
      <c r="H21" s="179"/>
      <c r="I21" s="179"/>
      <c r="J21" s="179"/>
      <c r="K21" s="179"/>
      <c r="L21" s="179"/>
      <c r="M21" s="265"/>
      <c r="N21" s="173"/>
      <c r="O21" s="265"/>
      <c r="P21" s="393"/>
      <c r="Q21" s="594" t="s">
        <v>61</v>
      </c>
      <c r="R21" s="2"/>
      <c r="T21" s="3">
        <v>3.0000000000000001E-3</v>
      </c>
    </row>
    <row r="22" spans="2:20" ht="14.1" customHeight="1" x14ac:dyDescent="0.15">
      <c r="B22" s="13">
        <v>10</v>
      </c>
      <c r="C22" s="592" t="s">
        <v>75</v>
      </c>
      <c r="D22" s="593"/>
      <c r="E22" s="11" t="s">
        <v>258</v>
      </c>
      <c r="F22" s="173"/>
      <c r="G22" s="243"/>
      <c r="H22" s="179"/>
      <c r="I22" s="179"/>
      <c r="J22" s="179"/>
      <c r="K22" s="179"/>
      <c r="L22" s="179"/>
      <c r="M22" s="265"/>
      <c r="N22" s="173"/>
      <c r="O22" s="265"/>
      <c r="P22" s="393"/>
      <c r="Q22" s="596"/>
      <c r="R22" s="2"/>
      <c r="T22" s="3">
        <v>3.0000000000000001E-3</v>
      </c>
    </row>
    <row r="23" spans="2:20" ht="14.1" customHeight="1" x14ac:dyDescent="0.15">
      <c r="B23" s="13">
        <v>11</v>
      </c>
      <c r="C23" s="592" t="s">
        <v>76</v>
      </c>
      <c r="D23" s="593"/>
      <c r="E23" s="11" t="s">
        <v>100</v>
      </c>
      <c r="F23" s="177"/>
      <c r="G23" s="245">
        <v>0</v>
      </c>
      <c r="H23" s="178"/>
      <c r="I23" s="178">
        <v>0</v>
      </c>
      <c r="J23" s="178"/>
      <c r="K23" s="178">
        <v>0</v>
      </c>
      <c r="L23" s="178"/>
      <c r="M23" s="268"/>
      <c r="N23" s="177">
        <f>MAXA(F23:M23)</f>
        <v>0</v>
      </c>
      <c r="O23" s="268">
        <f>MINA(F23:M23)</f>
        <v>0</v>
      </c>
      <c r="P23" s="396">
        <f>AVERAGEA(F23:M23)</f>
        <v>0</v>
      </c>
      <c r="Q23" s="9" t="s">
        <v>85</v>
      </c>
      <c r="R23" s="2"/>
    </row>
    <row r="24" spans="2:20" ht="14.1" customHeight="1" x14ac:dyDescent="0.15">
      <c r="B24" s="13">
        <v>12</v>
      </c>
      <c r="C24" s="592" t="s">
        <v>22</v>
      </c>
      <c r="D24" s="593"/>
      <c r="E24" s="11" t="s">
        <v>92</v>
      </c>
      <c r="F24" s="177"/>
      <c r="G24" s="245"/>
      <c r="H24" s="178"/>
      <c r="I24" s="178"/>
      <c r="J24" s="178"/>
      <c r="K24" s="178"/>
      <c r="L24" s="178"/>
      <c r="M24" s="268"/>
      <c r="N24" s="177"/>
      <c r="O24" s="268"/>
      <c r="P24" s="396"/>
      <c r="Q24" s="9" t="s">
        <v>502</v>
      </c>
      <c r="R24" s="2"/>
    </row>
    <row r="25" spans="2:20" ht="14.1" customHeight="1" x14ac:dyDescent="0.15">
      <c r="B25" s="13">
        <v>13</v>
      </c>
      <c r="C25" s="592" t="s">
        <v>77</v>
      </c>
      <c r="D25" s="593"/>
      <c r="E25" s="11" t="s">
        <v>102</v>
      </c>
      <c r="F25" s="182">
        <f>'原水（基準等） '!F51</f>
        <v>22</v>
      </c>
      <c r="G25" s="234"/>
      <c r="H25" s="234"/>
      <c r="I25" s="234">
        <f>'原水（基準等） '!I51</f>
        <v>26</v>
      </c>
      <c r="J25" s="234"/>
      <c r="K25" s="234"/>
      <c r="L25" s="234">
        <f>'原水（基準等） '!L51</f>
        <v>31</v>
      </c>
      <c r="M25" s="234">
        <f>'原水（基準等） '!O51</f>
        <v>26</v>
      </c>
      <c r="N25" s="171">
        <f>IF(MAXA(F25:M25)&lt;3,"&lt;3",MAXA(F25:M25))</f>
        <v>31</v>
      </c>
      <c r="O25" s="264">
        <f>IF(MINA(F25:M25)&lt;3,"&lt;3",MINA(F25:M25))</f>
        <v>22</v>
      </c>
      <c r="P25" s="392">
        <f>IF(AVERAGEA(F25:M25)&lt;1,"&lt;1",AVERAGEA(F25:M25))</f>
        <v>26.25</v>
      </c>
      <c r="Q25" s="81" t="s">
        <v>63</v>
      </c>
      <c r="R25" s="2"/>
      <c r="T25" s="3">
        <v>1</v>
      </c>
    </row>
    <row r="26" spans="2:20" ht="14.1" customHeight="1" x14ac:dyDescent="0.15">
      <c r="B26" s="13">
        <v>14</v>
      </c>
      <c r="C26" s="592" t="s">
        <v>47</v>
      </c>
      <c r="D26" s="593"/>
      <c r="E26" s="11" t="s">
        <v>93</v>
      </c>
      <c r="F26" s="175">
        <f>'原水（基準等） '!F49</f>
        <v>1.2E-2</v>
      </c>
      <c r="G26" s="179"/>
      <c r="H26" s="179"/>
      <c r="I26" s="179">
        <f>'原水（基準等） '!I49</f>
        <v>3.2000000000000001E-2</v>
      </c>
      <c r="J26" s="179"/>
      <c r="K26" s="179"/>
      <c r="L26" s="179">
        <f>'原水（基準等） '!L49</f>
        <v>4.2999999999999997E-2</v>
      </c>
      <c r="M26" s="179">
        <f>'原水（基準等） '!O49</f>
        <v>1.0999999999999999E-2</v>
      </c>
      <c r="N26" s="173">
        <f>IF(MAXA(F26:M26)&lt;0.001,"&lt;0.001",MAXA(F26:M26))</f>
        <v>4.2999999999999997E-2</v>
      </c>
      <c r="O26" s="265">
        <f>IF(MINA(F26:M26)&lt;0.001,"&lt;0.001",MINA(F26:M26))</f>
        <v>1.0999999999999999E-2</v>
      </c>
      <c r="P26" s="393">
        <f>IF(AVERAGEA(F26:M26)&lt;0.001,"&lt;0.001",AVERAGEA(F26:M26))</f>
        <v>2.4499999999999997E-2</v>
      </c>
      <c r="Q26" s="9" t="s">
        <v>60</v>
      </c>
      <c r="R26" s="2"/>
      <c r="T26" s="3">
        <v>1E-3</v>
      </c>
    </row>
    <row r="27" spans="2:20" ht="14.1" customHeight="1" x14ac:dyDescent="0.15">
      <c r="B27" s="13">
        <v>15</v>
      </c>
      <c r="C27" s="592" t="s">
        <v>78</v>
      </c>
      <c r="D27" s="593"/>
      <c r="E27" s="11" t="s">
        <v>94</v>
      </c>
      <c r="F27" s="170">
        <v>1.6</v>
      </c>
      <c r="G27" s="244"/>
      <c r="H27" s="91"/>
      <c r="I27" s="315">
        <v>3.6</v>
      </c>
      <c r="J27" s="91"/>
      <c r="K27" s="91"/>
      <c r="L27" s="315">
        <v>2.4</v>
      </c>
      <c r="M27" s="315">
        <v>2.6</v>
      </c>
      <c r="N27" s="170">
        <f>IF(MAXA(F27:M27)&lt;1,"&lt;1",MAXA(F27:M27))</f>
        <v>3.6</v>
      </c>
      <c r="O27" s="461">
        <f>IF(MINA(F27:M27)&lt;1,"&lt;1",MINA(F27:M27))</f>
        <v>1.6</v>
      </c>
      <c r="P27" s="395">
        <f>IF(AVERAGEA(F27:M27)&lt;1,"&lt;1",AVERAGEA(F27:M27))</f>
        <v>2.5499999999999998</v>
      </c>
      <c r="Q27" s="9" t="s">
        <v>504</v>
      </c>
      <c r="R27" s="2"/>
      <c r="T27" s="3">
        <v>2</v>
      </c>
    </row>
    <row r="28" spans="2:20" ht="14.1" customHeight="1" x14ac:dyDescent="0.15">
      <c r="B28" s="13">
        <v>16</v>
      </c>
      <c r="C28" s="592" t="s">
        <v>153</v>
      </c>
      <c r="D28" s="593"/>
      <c r="E28" s="11" t="s">
        <v>95</v>
      </c>
      <c r="F28" s="173" t="s">
        <v>306</v>
      </c>
      <c r="G28" s="243"/>
      <c r="H28" s="265"/>
      <c r="I28" s="179" t="s">
        <v>306</v>
      </c>
      <c r="J28" s="179"/>
      <c r="K28" s="179"/>
      <c r="L28" s="179" t="s">
        <v>306</v>
      </c>
      <c r="M28" s="179" t="s">
        <v>306</v>
      </c>
      <c r="N28" s="173" t="str">
        <f>IF(MAXA(F28:M28)&lt;0.001,"&lt;0.001",MAXA(F28:M28))</f>
        <v>&lt;0.001</v>
      </c>
      <c r="O28" s="265" t="str">
        <f>IF(MINA(F28:M28)&lt;0.001,"&lt;0.001",MINA(F28:M28))</f>
        <v>&lt;0.001</v>
      </c>
      <c r="P28" s="393" t="str">
        <f>IF(AVERAGEA(F28:M28)&lt;0.001,"&lt;0.001",AVERAGEA(F28:M28))</f>
        <v>&lt;0.001</v>
      </c>
      <c r="Q28" s="595" t="s">
        <v>62</v>
      </c>
      <c r="R28" s="2"/>
      <c r="T28" s="3">
        <v>1E-3</v>
      </c>
    </row>
    <row r="29" spans="2:20" ht="14.1" customHeight="1" x14ac:dyDescent="0.15">
      <c r="B29" s="13">
        <v>17</v>
      </c>
      <c r="C29" s="592" t="s">
        <v>154</v>
      </c>
      <c r="D29" s="593"/>
      <c r="E29" s="11" t="s">
        <v>96</v>
      </c>
      <c r="F29" s="173" t="s">
        <v>307</v>
      </c>
      <c r="G29" s="243"/>
      <c r="H29" s="265"/>
      <c r="I29" s="179" t="s">
        <v>307</v>
      </c>
      <c r="J29" s="179"/>
      <c r="K29" s="179"/>
      <c r="L29" s="179" t="s">
        <v>307</v>
      </c>
      <c r="M29" s="179" t="s">
        <v>307</v>
      </c>
      <c r="N29" s="173" t="str">
        <f>IF(MAXA(F29:M29)&lt;0.002,"&lt;0.002",MAXA(F29:M29))</f>
        <v>&lt;0.002</v>
      </c>
      <c r="O29" s="265" t="str">
        <f>IF(MINA(F29:M29)&lt;0.002,"&lt;0.002",MINA(F29:M29))</f>
        <v>&lt;0.002</v>
      </c>
      <c r="P29" s="393" t="str">
        <f>IF(AVERAGEA(F29:M29)&lt;0.002,"&lt;0.002",AVERAGEA(F29:M29))</f>
        <v>&lt;0.002</v>
      </c>
      <c r="Q29" s="595"/>
      <c r="R29" s="2"/>
      <c r="T29" s="3">
        <v>1E-3</v>
      </c>
    </row>
    <row r="30" spans="2:20" ht="14.1" customHeight="1" x14ac:dyDescent="0.15">
      <c r="B30" s="13">
        <v>18</v>
      </c>
      <c r="C30" s="592" t="s">
        <v>101</v>
      </c>
      <c r="D30" s="593"/>
      <c r="E30" s="11" t="s">
        <v>97</v>
      </c>
      <c r="F30" s="170"/>
      <c r="G30" s="244"/>
      <c r="H30" s="91"/>
      <c r="I30" s="91"/>
      <c r="J30" s="91"/>
      <c r="K30" s="91"/>
      <c r="L30" s="91"/>
      <c r="M30" s="451"/>
      <c r="N30" s="170"/>
      <c r="O30" s="461"/>
      <c r="P30" s="395"/>
      <c r="Q30" s="594" t="s">
        <v>63</v>
      </c>
      <c r="R30" s="2"/>
    </row>
    <row r="31" spans="2:20" ht="14.1" customHeight="1" x14ac:dyDescent="0.15">
      <c r="B31" s="13">
        <v>19</v>
      </c>
      <c r="C31" s="592" t="s">
        <v>79</v>
      </c>
      <c r="D31" s="593"/>
      <c r="E31" s="11" t="s">
        <v>97</v>
      </c>
      <c r="F31" s="171">
        <v>3</v>
      </c>
      <c r="G31" s="246"/>
      <c r="H31" s="234"/>
      <c r="I31" s="234">
        <v>2</v>
      </c>
      <c r="J31" s="234"/>
      <c r="K31" s="91"/>
      <c r="L31" s="234">
        <v>3</v>
      </c>
      <c r="M31" s="264">
        <v>1</v>
      </c>
      <c r="N31" s="171">
        <f>IF(MAXA(F31:M31)&lt;1,"&lt;1",MAXA(F31:M31))</f>
        <v>3</v>
      </c>
      <c r="O31" s="264">
        <f>IF(MINA(F31:M31)&lt;1,"&lt;1",MINA(F31:M31))</f>
        <v>1</v>
      </c>
      <c r="P31" s="392">
        <f>IF(AVERAGEA(F31:M31)&lt;1,"&lt;1",AVERAGEA(F31:M31))</f>
        <v>2.25</v>
      </c>
      <c r="Q31" s="578"/>
      <c r="R31" s="2"/>
      <c r="T31" s="3">
        <v>1</v>
      </c>
    </row>
    <row r="32" spans="2:20" ht="14.1" customHeight="1" x14ac:dyDescent="0.15">
      <c r="B32" s="13">
        <v>20</v>
      </c>
      <c r="C32" s="592" t="s">
        <v>50</v>
      </c>
      <c r="D32" s="593"/>
      <c r="E32" s="11" t="s">
        <v>103</v>
      </c>
      <c r="F32" s="182">
        <f>'原水（基準等） '!F52</f>
        <v>59</v>
      </c>
      <c r="G32" s="234"/>
      <c r="H32" s="234"/>
      <c r="I32" s="234">
        <f>'原水（基準等） '!I52</f>
        <v>71</v>
      </c>
      <c r="J32" s="234"/>
      <c r="K32" s="234"/>
      <c r="L32" s="234">
        <f>'原水（基準等） '!L52</f>
        <v>76</v>
      </c>
      <c r="M32" s="234">
        <f>'原水（基準等） '!O52</f>
        <v>64</v>
      </c>
      <c r="N32" s="171">
        <f>IF(MAXA(F32:M32)&lt;1,"&lt;1",MAXA(F32:M32))</f>
        <v>76</v>
      </c>
      <c r="O32" s="264">
        <f>IF(MINA(F32:M32)&lt;1,"&lt;1",MINA(F32:M32))</f>
        <v>59</v>
      </c>
      <c r="P32" s="392">
        <f>IF(AVERAGEA(F32:M32)&lt;1,"&lt;1",AVERAGEA(F32:M32))</f>
        <v>67.5</v>
      </c>
      <c r="Q32" s="578"/>
      <c r="R32" s="2"/>
      <c r="T32" s="3">
        <v>10</v>
      </c>
    </row>
    <row r="33" spans="2:20" ht="14.1" customHeight="1" x14ac:dyDescent="0.15">
      <c r="B33" s="13">
        <v>21</v>
      </c>
      <c r="C33" s="592" t="s">
        <v>58</v>
      </c>
      <c r="D33" s="593"/>
      <c r="E33" s="11" t="s">
        <v>98</v>
      </c>
      <c r="F33" s="196">
        <f>'原水（基準等） '!F63</f>
        <v>8.6999999999999993</v>
      </c>
      <c r="G33" s="234">
        <f>'原水（基準等） '!G63</f>
        <v>20</v>
      </c>
      <c r="H33" s="91">
        <f>'原水（基準等） '!H63</f>
        <v>2.7</v>
      </c>
      <c r="I33" s="91">
        <f>'原水（基準等） '!I63</f>
        <v>4.0999999999999996</v>
      </c>
      <c r="J33" s="91">
        <f>'原水（基準等） '!J63</f>
        <v>9.1999999999999993</v>
      </c>
      <c r="K33" s="91">
        <f>'原水（基準等） '!K63</f>
        <v>6</v>
      </c>
      <c r="L33" s="91">
        <f>'原水（基準等） '!L63</f>
        <v>5.3</v>
      </c>
      <c r="M33" s="91">
        <f>'原水（基準等） '!O63</f>
        <v>4.9000000000000004</v>
      </c>
      <c r="N33" s="171">
        <f>IF(MAXA(F33:M33)&lt;0.1,"&lt;0.1",MAXA(F33:M33))</f>
        <v>20</v>
      </c>
      <c r="O33" s="461">
        <f>IF(MINA(F33:M33)&lt;0.1,"&lt;0.1",MINA(F33:M33))</f>
        <v>2.7</v>
      </c>
      <c r="P33" s="395">
        <f>IF(AVERAGEA(F33:M33)&lt;0.1,"&lt;0.1",AVERAGEA(F33:M33))</f>
        <v>7.6124999999999998</v>
      </c>
      <c r="Q33" s="578"/>
      <c r="R33" s="2"/>
      <c r="T33" s="3">
        <v>0.1</v>
      </c>
    </row>
    <row r="34" spans="2:20" ht="14.1" customHeight="1" x14ac:dyDescent="0.15">
      <c r="B34" s="13">
        <v>22</v>
      </c>
      <c r="C34" s="592" t="s">
        <v>54</v>
      </c>
      <c r="D34" s="593"/>
      <c r="E34" s="11" t="s">
        <v>99</v>
      </c>
      <c r="F34" s="196">
        <f>'原水（基準等） '!F59</f>
        <v>7</v>
      </c>
      <c r="G34" s="91">
        <f>'原水（基準等） '!G59</f>
        <v>7.3</v>
      </c>
      <c r="H34" s="91">
        <f>'原水（基準等） '!H59</f>
        <v>7.5</v>
      </c>
      <c r="I34" s="91">
        <f>'原水（基準等） '!I59</f>
        <v>7.5</v>
      </c>
      <c r="J34" s="91">
        <f>'原水（基準等） '!J59</f>
        <v>7.3</v>
      </c>
      <c r="K34" s="91">
        <f>'原水（基準等） '!K59</f>
        <v>6.8</v>
      </c>
      <c r="L34" s="91">
        <f>'原水（基準等） '!L59</f>
        <v>7.1</v>
      </c>
      <c r="M34" s="91">
        <f>'原水（基準等） '!O59</f>
        <v>7.1</v>
      </c>
      <c r="N34" s="170">
        <f>MAXA(F34:M34)</f>
        <v>7.5</v>
      </c>
      <c r="O34" s="461">
        <f>MINA(F34:M34)</f>
        <v>6.8</v>
      </c>
      <c r="P34" s="395">
        <f>AVERAGEA(F34:M34)</f>
        <v>7.2</v>
      </c>
      <c r="Q34" s="578"/>
      <c r="R34" s="2"/>
    </row>
    <row r="35" spans="2:20" ht="24" customHeight="1" x14ac:dyDescent="0.15">
      <c r="B35" s="13">
        <v>23</v>
      </c>
      <c r="C35" s="592" t="s">
        <v>80</v>
      </c>
      <c r="D35" s="593"/>
      <c r="E35" s="71" t="s">
        <v>104</v>
      </c>
      <c r="F35" s="170">
        <v>-2.7</v>
      </c>
      <c r="G35" s="244"/>
      <c r="H35" s="91"/>
      <c r="I35" s="91">
        <v>-1.8</v>
      </c>
      <c r="J35" s="91"/>
      <c r="K35" s="91"/>
      <c r="L35" s="91">
        <v>-2.1</v>
      </c>
      <c r="M35" s="91">
        <v>-2.5</v>
      </c>
      <c r="N35" s="170">
        <f>MAXA(F35:M35)</f>
        <v>-1.8</v>
      </c>
      <c r="O35" s="461">
        <f>MINA(F35:M35)</f>
        <v>-2.7</v>
      </c>
      <c r="P35" s="395">
        <f>AVERAGEA(F35:M35)</f>
        <v>-2.2749999999999999</v>
      </c>
      <c r="Q35" s="596"/>
      <c r="R35" s="2"/>
    </row>
    <row r="36" spans="2:20" ht="24" customHeight="1" x14ac:dyDescent="0.15">
      <c r="B36" s="13">
        <v>24</v>
      </c>
      <c r="C36" s="592" t="s">
        <v>253</v>
      </c>
      <c r="D36" s="593"/>
      <c r="E36" s="71" t="s">
        <v>254</v>
      </c>
      <c r="F36" s="171">
        <v>2400</v>
      </c>
      <c r="G36" s="246"/>
      <c r="H36" s="234"/>
      <c r="I36" s="234">
        <v>280</v>
      </c>
      <c r="J36" s="91"/>
      <c r="K36" s="234"/>
      <c r="L36" s="234">
        <v>2700</v>
      </c>
      <c r="M36" s="264">
        <v>820</v>
      </c>
      <c r="N36" s="171">
        <f>MAXA(F36:M36)</f>
        <v>2700</v>
      </c>
      <c r="O36" s="264">
        <f>MINA(F36:M36)</f>
        <v>280</v>
      </c>
      <c r="P36" s="392">
        <f>ROUND(AVERAGEA(F36:M36),-2)</f>
        <v>1600</v>
      </c>
      <c r="Q36" s="72" t="s">
        <v>260</v>
      </c>
      <c r="R36" s="2"/>
    </row>
    <row r="37" spans="2:20" ht="13.5" customHeight="1" x14ac:dyDescent="0.15">
      <c r="B37" s="13">
        <v>25</v>
      </c>
      <c r="C37" s="592" t="s">
        <v>259</v>
      </c>
      <c r="D37" s="593"/>
      <c r="E37" s="71" t="s">
        <v>90</v>
      </c>
      <c r="F37" s="171" t="s">
        <v>313</v>
      </c>
      <c r="G37" s="246"/>
      <c r="H37" s="264"/>
      <c r="I37" s="234" t="s">
        <v>313</v>
      </c>
      <c r="J37" s="91"/>
      <c r="K37" s="234"/>
      <c r="L37" s="234" t="s">
        <v>313</v>
      </c>
      <c r="M37" s="234" t="s">
        <v>313</v>
      </c>
      <c r="N37" s="171" t="str">
        <f>IF(MAXA(F37:M37)&lt;0.01,"&lt;0.01",MAXA(F37:M37))</f>
        <v>&lt;0.01</v>
      </c>
      <c r="O37" s="264" t="str">
        <f>IF(MINA(F37:M37)&lt;0.01,"&lt;0.01",MINA(F37:M37))</f>
        <v>&lt;0.01</v>
      </c>
      <c r="P37" s="392" t="str">
        <f>IF(AVERAGEA(F37:M37)&lt;0.01,"&lt;0.01",AVERAGEA(F37:M37))</f>
        <v>&lt;0.01</v>
      </c>
      <c r="Q37" s="81" t="s">
        <v>62</v>
      </c>
      <c r="R37" s="2"/>
    </row>
    <row r="38" spans="2:20" ht="13.5" customHeight="1" x14ac:dyDescent="0.15">
      <c r="B38" s="13">
        <v>26</v>
      </c>
      <c r="C38" s="592" t="s">
        <v>43</v>
      </c>
      <c r="D38" s="593"/>
      <c r="E38" s="71" t="s">
        <v>90</v>
      </c>
      <c r="F38" s="177">
        <f>'原水（基準等） '!F45</f>
        <v>0.4</v>
      </c>
      <c r="G38" s="245"/>
      <c r="H38" s="303"/>
      <c r="I38" s="178">
        <v>0.21</v>
      </c>
      <c r="J38" s="91"/>
      <c r="K38" s="179"/>
      <c r="L38" s="178">
        <f>'原水（基準等） '!L45</f>
        <v>0.38</v>
      </c>
      <c r="M38" s="178">
        <v>0.21</v>
      </c>
      <c r="N38" s="177">
        <f>IF(MAXA(F38:M38)&lt;0.001,"&lt;0.001",MAXA(F38:M38))</f>
        <v>0.4</v>
      </c>
      <c r="O38" s="268">
        <f>IF(MINA(F38:M38)&lt;0.001,"&lt;0.001",MINA(F38:M38))</f>
        <v>0.21</v>
      </c>
      <c r="P38" s="396">
        <f>IF(AVERAGEA(F38:M38)&lt;0.001,"&lt;0.001",AVERAGEA(F38:M38))</f>
        <v>0.3</v>
      </c>
      <c r="Q38" s="81" t="s">
        <v>84</v>
      </c>
      <c r="R38" s="2"/>
    </row>
    <row r="39" spans="2:20" ht="24" customHeight="1" thickBot="1" x14ac:dyDescent="0.2">
      <c r="B39" s="110">
        <v>27</v>
      </c>
      <c r="C39" s="664" t="s">
        <v>295</v>
      </c>
      <c r="D39" s="665"/>
      <c r="E39" s="111" t="s">
        <v>298</v>
      </c>
      <c r="F39" s="193" t="s">
        <v>315</v>
      </c>
      <c r="G39" s="247"/>
      <c r="H39" s="304"/>
      <c r="I39" s="193" t="s">
        <v>315</v>
      </c>
      <c r="J39" s="261"/>
      <c r="K39" s="331"/>
      <c r="L39" s="373" t="s">
        <v>315</v>
      </c>
      <c r="M39" s="458" t="s">
        <v>315</v>
      </c>
      <c r="N39" s="177" t="str">
        <f>IF(MAXA(F39:M39)&lt;0.000001,"&lt;0.000001",MAXA(F39:M39))</f>
        <v>&lt;0.000001</v>
      </c>
      <c r="O39" s="268" t="str">
        <f>IF(MINA(F39:M39)&lt;0.000001,"&lt;0.000001",MINA(F39:M39))</f>
        <v>&lt;0.000001</v>
      </c>
      <c r="P39" s="396" t="str">
        <f>IF(AVERAGEA(F39:M39)&lt;0.000001,"&lt;0.000001",AVERAGEA(F39:M39))</f>
        <v>&lt;0.000001</v>
      </c>
      <c r="Q39" s="80" t="s">
        <v>63</v>
      </c>
      <c r="R39" s="2"/>
    </row>
    <row r="40" spans="2:20" ht="15" customHeight="1" x14ac:dyDescent="0.15">
      <c r="B40" s="584" t="s">
        <v>123</v>
      </c>
      <c r="C40" s="585"/>
      <c r="D40" s="585"/>
      <c r="E40" s="35"/>
      <c r="F40" s="587" t="s">
        <v>6</v>
      </c>
      <c r="G40" s="585"/>
      <c r="H40" s="585"/>
      <c r="I40" s="585"/>
      <c r="J40" s="585"/>
      <c r="K40" s="585"/>
      <c r="L40" s="585"/>
      <c r="M40" s="588"/>
      <c r="N40" s="657"/>
      <c r="O40" s="658"/>
      <c r="P40" s="659"/>
      <c r="Q40" s="48"/>
      <c r="R40" s="2"/>
    </row>
    <row r="41" spans="2:20" ht="14.1" customHeight="1" x14ac:dyDescent="0.15">
      <c r="B41" s="18">
        <v>1</v>
      </c>
      <c r="C41" s="651" t="s">
        <v>155</v>
      </c>
      <c r="D41" s="662"/>
      <c r="E41" s="7"/>
      <c r="F41" s="163"/>
      <c r="G41" s="162"/>
      <c r="H41" s="94">
        <v>0</v>
      </c>
      <c r="I41" s="94"/>
      <c r="J41" s="94">
        <v>0</v>
      </c>
      <c r="K41" s="359"/>
      <c r="L41" s="376"/>
      <c r="M41" s="376"/>
      <c r="N41" s="96"/>
      <c r="O41" s="97"/>
      <c r="P41" s="98"/>
      <c r="Q41" s="653" t="s">
        <v>16</v>
      </c>
      <c r="R41" s="2"/>
    </row>
    <row r="42" spans="2:20" ht="14.1" customHeight="1" thickBot="1" x14ac:dyDescent="0.2">
      <c r="B42" s="14">
        <v>2</v>
      </c>
      <c r="C42" s="600" t="s">
        <v>156</v>
      </c>
      <c r="D42" s="663"/>
      <c r="E42" s="6"/>
      <c r="F42" s="194"/>
      <c r="G42" s="248"/>
      <c r="H42" s="93">
        <v>0</v>
      </c>
      <c r="I42" s="93"/>
      <c r="J42" s="93">
        <v>0</v>
      </c>
      <c r="K42" s="360"/>
      <c r="L42" s="377"/>
      <c r="M42" s="377"/>
      <c r="N42" s="99"/>
      <c r="O42" s="100"/>
      <c r="P42" s="101"/>
      <c r="Q42" s="654"/>
      <c r="R42" s="2"/>
    </row>
    <row r="43" spans="2:20" ht="15" customHeight="1" thickBot="1" x14ac:dyDescent="0.2">
      <c r="B43" s="603" t="s">
        <v>81</v>
      </c>
      <c r="C43" s="604"/>
      <c r="D43" s="660"/>
      <c r="E43" s="661"/>
      <c r="F43" s="195" t="s">
        <v>243</v>
      </c>
      <c r="G43" s="249" t="s">
        <v>519</v>
      </c>
      <c r="H43" s="249" t="s">
        <v>527</v>
      </c>
      <c r="I43" s="249" t="s">
        <v>542</v>
      </c>
      <c r="J43" s="249" t="s">
        <v>545</v>
      </c>
      <c r="K43" s="215" t="s">
        <v>548</v>
      </c>
      <c r="L43" s="215" t="s">
        <v>552</v>
      </c>
      <c r="M43" s="402" t="s">
        <v>560</v>
      </c>
      <c r="N43" s="102"/>
      <c r="O43" s="102"/>
      <c r="P43" s="102"/>
      <c r="Q43" s="2"/>
      <c r="R43" s="2"/>
    </row>
    <row r="44" spans="2:20" ht="10.5" customHeight="1" x14ac:dyDescent="0.15">
      <c r="B44" s="3" t="s">
        <v>122</v>
      </c>
      <c r="C44" s="1"/>
      <c r="D44" s="1"/>
      <c r="E44" s="1"/>
      <c r="F44" s="83"/>
      <c r="G44" s="83"/>
      <c r="H44" s="87"/>
      <c r="I44" s="87"/>
      <c r="J44" s="87"/>
      <c r="K44" s="83"/>
      <c r="L44" s="83"/>
      <c r="M44" s="83"/>
      <c r="N44" s="83"/>
      <c r="O44" s="83"/>
      <c r="P44" s="83"/>
      <c r="Q44" s="4"/>
      <c r="R44" s="4"/>
    </row>
    <row r="45" spans="2:20" ht="10.5" customHeight="1" x14ac:dyDescent="0.15">
      <c r="B45" s="3" t="s">
        <v>496</v>
      </c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</row>
    <row r="46" spans="2:20" ht="10.5" customHeight="1" x14ac:dyDescent="0.15">
      <c r="B46" s="27"/>
      <c r="C46" s="27"/>
      <c r="D46" s="27"/>
      <c r="E46" s="27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</row>
    <row r="47" spans="2:20" ht="10.15" customHeight="1" x14ac:dyDescent="0.15">
      <c r="B47" s="27"/>
      <c r="C47" s="27"/>
      <c r="D47" s="27"/>
      <c r="E47" s="27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</row>
    <row r="48" spans="2:20" ht="10.15" customHeight="1" x14ac:dyDescent="0.15">
      <c r="H48" s="89"/>
    </row>
    <row r="49" spans="8:8" ht="10.15" customHeight="1" x14ac:dyDescent="0.15">
      <c r="H49" s="89"/>
    </row>
    <row r="50" spans="8:8" ht="10.15" customHeight="1" x14ac:dyDescent="0.15">
      <c r="H50" s="89"/>
    </row>
    <row r="51" spans="8:8" ht="10.15" customHeight="1" x14ac:dyDescent="0.15">
      <c r="H51" s="89"/>
    </row>
    <row r="52" spans="8:8" ht="10.15" customHeight="1" x14ac:dyDescent="0.15">
      <c r="H52" s="89"/>
    </row>
    <row r="53" spans="8:8" ht="10.15" customHeight="1" x14ac:dyDescent="0.15">
      <c r="H53" s="89"/>
    </row>
    <row r="54" spans="8:8" ht="10.15" customHeight="1" x14ac:dyDescent="0.15">
      <c r="H54" s="89"/>
    </row>
    <row r="55" spans="8:8" ht="10.15" customHeight="1" x14ac:dyDescent="0.15">
      <c r="H55" s="89"/>
    </row>
    <row r="56" spans="8:8" ht="10.15" customHeight="1" x14ac:dyDescent="0.15">
      <c r="H56" s="89"/>
    </row>
    <row r="57" spans="8:8" ht="10.15" customHeight="1" x14ac:dyDescent="0.15">
      <c r="H57" s="89"/>
    </row>
    <row r="58" spans="8:8" ht="10.15" customHeight="1" x14ac:dyDescent="0.15">
      <c r="H58" s="89"/>
    </row>
    <row r="59" spans="8:8" ht="10.15" customHeight="1" x14ac:dyDescent="0.15">
      <c r="H59" s="89"/>
    </row>
    <row r="60" spans="8:8" ht="10.15" customHeight="1" x14ac:dyDescent="0.15">
      <c r="H60" s="89"/>
    </row>
    <row r="61" spans="8:8" ht="10.15" customHeight="1" x14ac:dyDescent="0.15">
      <c r="H61" s="89"/>
    </row>
    <row r="62" spans="8:8" ht="10.15" customHeight="1" x14ac:dyDescent="0.15">
      <c r="H62" s="89"/>
    </row>
    <row r="63" spans="8:8" ht="10.15" customHeight="1" x14ac:dyDescent="0.15">
      <c r="H63" s="89"/>
    </row>
  </sheetData>
  <mergeCells count="58">
    <mergeCell ref="F40:M40"/>
    <mergeCell ref="C26:D26"/>
    <mergeCell ref="D9:E9"/>
    <mergeCell ref="B1:Q1"/>
    <mergeCell ref="Q16:Q18"/>
    <mergeCell ref="C16:D16"/>
    <mergeCell ref="B4:C4"/>
    <mergeCell ref="Q13:Q15"/>
    <mergeCell ref="Q6:Q11"/>
    <mergeCell ref="N6:N9"/>
    <mergeCell ref="O6:O9"/>
    <mergeCell ref="D6:E6"/>
    <mergeCell ref="C18:D18"/>
    <mergeCell ref="C17:D17"/>
    <mergeCell ref="C23:D23"/>
    <mergeCell ref="C24:D24"/>
    <mergeCell ref="C27:D27"/>
    <mergeCell ref="C34:D34"/>
    <mergeCell ref="D7:E7"/>
    <mergeCell ref="D8:E8"/>
    <mergeCell ref="B6:C11"/>
    <mergeCell ref="D10:E10"/>
    <mergeCell ref="C19:D19"/>
    <mergeCell ref="C29:D29"/>
    <mergeCell ref="C30:D30"/>
    <mergeCell ref="C31:D31"/>
    <mergeCell ref="C32:D32"/>
    <mergeCell ref="C28:D28"/>
    <mergeCell ref="B43:E43"/>
    <mergeCell ref="C41:D41"/>
    <mergeCell ref="C42:D42"/>
    <mergeCell ref="B40:D40"/>
    <mergeCell ref="C35:D35"/>
    <mergeCell ref="C37:D37"/>
    <mergeCell ref="C39:D39"/>
    <mergeCell ref="Q41:Q42"/>
    <mergeCell ref="Q28:Q29"/>
    <mergeCell ref="D11:E11"/>
    <mergeCell ref="C13:D13"/>
    <mergeCell ref="C22:D22"/>
    <mergeCell ref="B12:D12"/>
    <mergeCell ref="C38:D38"/>
    <mergeCell ref="C36:D36"/>
    <mergeCell ref="C21:D21"/>
    <mergeCell ref="C20:D20"/>
    <mergeCell ref="C14:D14"/>
    <mergeCell ref="C15:D15"/>
    <mergeCell ref="Q19:Q20"/>
    <mergeCell ref="N40:P40"/>
    <mergeCell ref="C25:D25"/>
    <mergeCell ref="C33:D33"/>
    <mergeCell ref="Q21:Q22"/>
    <mergeCell ref="Q30:Q35"/>
    <mergeCell ref="G3:M3"/>
    <mergeCell ref="G4:M4"/>
    <mergeCell ref="F12:M12"/>
    <mergeCell ref="N12:P12"/>
    <mergeCell ref="P6:P9"/>
  </mergeCells>
  <phoneticPr fontId="4"/>
  <printOptions horizontalCentered="1"/>
  <pageMargins left="0.59055118110236227" right="0.39370078740157483" top="0.78740157480314965" bottom="0.39370078740157483" header="0" footer="0"/>
  <pageSetup paperSize="9" scale="8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>
    <pageSetUpPr fitToPage="1"/>
  </sheetPr>
  <dimension ref="B1:X85"/>
  <sheetViews>
    <sheetView zoomScaleNormal="100" zoomScaleSheetLayoutView="115" workbookViewId="0"/>
  </sheetViews>
  <sheetFormatPr defaultColWidth="8.875" defaultRowHeight="10.15" customHeight="1" x14ac:dyDescent="0.15"/>
  <cols>
    <col min="1" max="1" width="2.625" style="3" customWidth="1"/>
    <col min="2" max="2" width="3.125" style="3" customWidth="1"/>
    <col min="3" max="3" width="7.125" style="3" customWidth="1"/>
    <col min="4" max="4" width="18.625" style="3" customWidth="1"/>
    <col min="5" max="5" width="13" style="3" customWidth="1"/>
    <col min="6" max="6" width="11.375" style="3" customWidth="1"/>
    <col min="7" max="12" width="7.625" style="3" customWidth="1"/>
    <col min="13" max="13" width="1" style="3" customWidth="1"/>
    <col min="14" max="14" width="3.125" style="3" customWidth="1"/>
    <col min="15" max="15" width="7.125" style="3" customWidth="1"/>
    <col min="16" max="16" width="18.625" style="3" customWidth="1"/>
    <col min="17" max="17" width="15.75" style="3" customWidth="1"/>
    <col min="18" max="18" width="6.625" style="3" customWidth="1"/>
    <col min="19" max="24" width="7.625" style="3" customWidth="1"/>
    <col min="25" max="16384" width="8.875" style="3"/>
  </cols>
  <sheetData>
    <row r="1" spans="2:24" ht="20.100000000000001" customHeight="1" x14ac:dyDescent="0.15">
      <c r="B1" s="551" t="s">
        <v>685</v>
      </c>
      <c r="C1" s="551"/>
      <c r="D1" s="551"/>
      <c r="E1" s="551"/>
      <c r="F1" s="551"/>
      <c r="G1" s="551"/>
      <c r="H1" s="551"/>
      <c r="I1" s="551"/>
      <c r="J1" s="551"/>
      <c r="K1" s="551"/>
      <c r="L1" s="551"/>
    </row>
    <row r="2" spans="2:24" ht="15" customHeight="1" thickBot="1" x14ac:dyDescent="0.2"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2:24" ht="19.149999999999999" customHeight="1" thickBot="1" x14ac:dyDescent="0.2">
      <c r="B3" s="20"/>
      <c r="D3" s="49"/>
      <c r="E3" s="49"/>
      <c r="F3" s="154" t="s">
        <v>7</v>
      </c>
      <c r="G3" s="681" t="s">
        <v>8</v>
      </c>
      <c r="H3" s="615"/>
      <c r="I3" s="615"/>
      <c r="J3" s="615"/>
      <c r="K3" s="615"/>
      <c r="L3" s="615"/>
      <c r="M3" s="153"/>
      <c r="N3" s="152"/>
      <c r="O3" s="152"/>
      <c r="P3" s="152"/>
    </row>
    <row r="4" spans="2:24" ht="19.149999999999999" customHeight="1" thickBot="1" x14ac:dyDescent="0.2">
      <c r="B4" s="682" t="s">
        <v>23</v>
      </c>
      <c r="C4" s="683"/>
      <c r="D4" s="31" t="s">
        <v>157</v>
      </c>
      <c r="E4" s="34"/>
      <c r="F4" s="42"/>
      <c r="G4" s="557" t="s">
        <v>463</v>
      </c>
      <c r="H4" s="558"/>
      <c r="I4" s="558"/>
      <c r="J4" s="558"/>
      <c r="K4" s="558"/>
      <c r="L4" s="558"/>
      <c r="M4" s="151"/>
      <c r="N4" s="34"/>
      <c r="O4" s="34"/>
      <c r="P4" s="34"/>
    </row>
    <row r="5" spans="2:24" ht="10.15" customHeight="1" thickBot="1" x14ac:dyDescent="0.2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24" ht="12.95" customHeight="1" x14ac:dyDescent="0.15">
      <c r="B6" s="684" t="s">
        <v>5</v>
      </c>
      <c r="C6" s="685"/>
      <c r="D6" s="679" t="s">
        <v>17</v>
      </c>
      <c r="E6" s="680"/>
      <c r="F6" s="680"/>
      <c r="G6" s="690">
        <v>45056</v>
      </c>
      <c r="H6" s="691"/>
      <c r="I6" s="692">
        <v>45112</v>
      </c>
      <c r="J6" s="693"/>
      <c r="K6" s="691">
        <v>45175</v>
      </c>
      <c r="L6" s="694"/>
      <c r="M6" s="4"/>
      <c r="N6" s="684" t="s">
        <v>5</v>
      </c>
      <c r="O6" s="685"/>
      <c r="P6" s="679" t="s">
        <v>17</v>
      </c>
      <c r="Q6" s="680"/>
      <c r="R6" s="680"/>
      <c r="S6" s="690">
        <f>G6</f>
        <v>45056</v>
      </c>
      <c r="T6" s="691"/>
      <c r="U6" s="692">
        <f t="shared" ref="U6:U11" si="0">I6</f>
        <v>45112</v>
      </c>
      <c r="V6" s="693"/>
      <c r="W6" s="691">
        <f t="shared" ref="W6:W11" si="1">K6</f>
        <v>45175</v>
      </c>
      <c r="X6" s="694"/>
    </row>
    <row r="7" spans="2:24" ht="12.95" customHeight="1" x14ac:dyDescent="0.15">
      <c r="B7" s="686"/>
      <c r="C7" s="687"/>
      <c r="D7" s="666" t="s">
        <v>18</v>
      </c>
      <c r="E7" s="667"/>
      <c r="F7" s="667"/>
      <c r="G7" s="707">
        <v>0.36180555555555555</v>
      </c>
      <c r="H7" s="708"/>
      <c r="I7" s="709">
        <v>0.35833333333333334</v>
      </c>
      <c r="J7" s="710"/>
      <c r="K7" s="708">
        <v>0.36319444444444443</v>
      </c>
      <c r="L7" s="711"/>
      <c r="M7" s="4"/>
      <c r="N7" s="686"/>
      <c r="O7" s="687"/>
      <c r="P7" s="666" t="s">
        <v>18</v>
      </c>
      <c r="Q7" s="667"/>
      <c r="R7" s="667"/>
      <c r="S7" s="707">
        <f>G7</f>
        <v>0.36180555555555555</v>
      </c>
      <c r="T7" s="708"/>
      <c r="U7" s="709">
        <f t="shared" si="0"/>
        <v>0.35833333333333334</v>
      </c>
      <c r="V7" s="710"/>
      <c r="W7" s="708">
        <f t="shared" si="1"/>
        <v>0.36319444444444443</v>
      </c>
      <c r="X7" s="711"/>
    </row>
    <row r="8" spans="2:24" ht="12.95" customHeight="1" x14ac:dyDescent="0.15">
      <c r="B8" s="686"/>
      <c r="C8" s="687"/>
      <c r="D8" s="666" t="s">
        <v>19</v>
      </c>
      <c r="E8" s="667"/>
      <c r="F8" s="667"/>
      <c r="G8" s="712" t="s">
        <v>466</v>
      </c>
      <c r="H8" s="713"/>
      <c r="I8" s="667" t="s">
        <v>587</v>
      </c>
      <c r="J8" s="714"/>
      <c r="K8" s="713" t="s">
        <v>302</v>
      </c>
      <c r="L8" s="715"/>
      <c r="M8" s="4"/>
      <c r="N8" s="686"/>
      <c r="O8" s="687"/>
      <c r="P8" s="666" t="s">
        <v>19</v>
      </c>
      <c r="Q8" s="667"/>
      <c r="R8" s="667"/>
      <c r="S8" s="707" t="str">
        <f t="shared" ref="S8:S9" si="2">G8</f>
        <v>晴</v>
      </c>
      <c r="T8" s="708"/>
      <c r="U8" s="667" t="str">
        <f t="shared" si="0"/>
        <v>雲</v>
      </c>
      <c r="V8" s="714"/>
      <c r="W8" s="713" t="str">
        <f t="shared" si="1"/>
        <v>曇</v>
      </c>
      <c r="X8" s="715"/>
    </row>
    <row r="9" spans="2:24" ht="12.95" customHeight="1" x14ac:dyDescent="0.15">
      <c r="B9" s="686"/>
      <c r="C9" s="687"/>
      <c r="D9" s="666" t="s">
        <v>20</v>
      </c>
      <c r="E9" s="667"/>
      <c r="F9" s="667"/>
      <c r="G9" s="712" t="s">
        <v>466</v>
      </c>
      <c r="H9" s="713"/>
      <c r="I9" s="667" t="s">
        <v>536</v>
      </c>
      <c r="J9" s="714"/>
      <c r="K9" s="667" t="s">
        <v>525</v>
      </c>
      <c r="L9" s="716"/>
      <c r="M9" s="4"/>
      <c r="N9" s="686"/>
      <c r="O9" s="687"/>
      <c r="P9" s="666" t="s">
        <v>20</v>
      </c>
      <c r="Q9" s="667"/>
      <c r="R9" s="667"/>
      <c r="S9" s="707" t="str">
        <f t="shared" si="2"/>
        <v>晴</v>
      </c>
      <c r="T9" s="708"/>
      <c r="U9" s="667" t="str">
        <f t="shared" si="0"/>
        <v>晴</v>
      </c>
      <c r="V9" s="714"/>
      <c r="W9" s="667" t="str">
        <f t="shared" si="1"/>
        <v>雨</v>
      </c>
      <c r="X9" s="716"/>
    </row>
    <row r="10" spans="2:24" ht="12.95" customHeight="1" x14ac:dyDescent="0.15">
      <c r="B10" s="686"/>
      <c r="C10" s="687"/>
      <c r="D10" s="666" t="s">
        <v>21</v>
      </c>
      <c r="E10" s="667"/>
      <c r="F10" s="667"/>
      <c r="G10" s="720">
        <v>14</v>
      </c>
      <c r="H10" s="717"/>
      <c r="I10" s="697">
        <v>23.7</v>
      </c>
      <c r="J10" s="698"/>
      <c r="K10" s="717">
        <v>24.5</v>
      </c>
      <c r="L10" s="718"/>
      <c r="M10" s="4"/>
      <c r="N10" s="686"/>
      <c r="O10" s="687"/>
      <c r="P10" s="666" t="s">
        <v>21</v>
      </c>
      <c r="Q10" s="667"/>
      <c r="R10" s="667"/>
      <c r="S10" s="720">
        <f>G10</f>
        <v>14</v>
      </c>
      <c r="T10" s="717"/>
      <c r="U10" s="697">
        <f t="shared" si="0"/>
        <v>23.7</v>
      </c>
      <c r="V10" s="698"/>
      <c r="W10" s="717">
        <f t="shared" si="1"/>
        <v>24.5</v>
      </c>
      <c r="X10" s="718"/>
    </row>
    <row r="11" spans="2:24" ht="12.95" customHeight="1" x14ac:dyDescent="0.15">
      <c r="B11" s="686"/>
      <c r="C11" s="687"/>
      <c r="D11" s="666" t="s">
        <v>462</v>
      </c>
      <c r="E11" s="667"/>
      <c r="F11" s="667"/>
      <c r="G11" s="695">
        <v>9.8000000000000007</v>
      </c>
      <c r="H11" s="696"/>
      <c r="I11" s="697">
        <v>19.100000000000001</v>
      </c>
      <c r="J11" s="698"/>
      <c r="K11" s="696">
        <v>14.5</v>
      </c>
      <c r="L11" s="699"/>
      <c r="M11" s="4"/>
      <c r="N11" s="686"/>
      <c r="O11" s="687"/>
      <c r="P11" s="666" t="s">
        <v>462</v>
      </c>
      <c r="Q11" s="667"/>
      <c r="R11" s="667"/>
      <c r="S11" s="720">
        <f t="shared" ref="S11:S12" si="3">G11</f>
        <v>9.8000000000000007</v>
      </c>
      <c r="T11" s="717"/>
      <c r="U11" s="697">
        <f t="shared" si="0"/>
        <v>19.100000000000001</v>
      </c>
      <c r="V11" s="698"/>
      <c r="W11" s="696">
        <f t="shared" si="1"/>
        <v>14.5</v>
      </c>
      <c r="X11" s="699"/>
    </row>
    <row r="12" spans="2:24" ht="12.95" customHeight="1" thickBot="1" x14ac:dyDescent="0.2">
      <c r="B12" s="688"/>
      <c r="C12" s="689"/>
      <c r="D12" s="700" t="s">
        <v>461</v>
      </c>
      <c r="E12" s="701"/>
      <c r="F12" s="702"/>
      <c r="G12" s="703" t="s">
        <v>470</v>
      </c>
      <c r="H12" s="704"/>
      <c r="I12" s="705" t="s">
        <v>538</v>
      </c>
      <c r="J12" s="706"/>
      <c r="K12" s="705" t="s">
        <v>549</v>
      </c>
      <c r="L12" s="719"/>
      <c r="M12" s="4"/>
      <c r="N12" s="688"/>
      <c r="O12" s="689"/>
      <c r="P12" s="700" t="s">
        <v>461</v>
      </c>
      <c r="Q12" s="701"/>
      <c r="R12" s="702"/>
      <c r="S12" s="720" t="str">
        <f t="shared" si="3"/>
        <v>-</v>
      </c>
      <c r="T12" s="717"/>
      <c r="U12" s="705" t="s">
        <v>537</v>
      </c>
      <c r="V12" s="706"/>
      <c r="W12" s="705" t="s">
        <v>549</v>
      </c>
      <c r="X12" s="719"/>
    </row>
    <row r="13" spans="2:24" ht="15" customHeight="1" x14ac:dyDescent="0.15">
      <c r="B13" s="725" t="s">
        <v>460</v>
      </c>
      <c r="C13" s="726"/>
      <c r="D13" s="727"/>
      <c r="E13" s="728" t="s">
        <v>459</v>
      </c>
      <c r="F13" s="150" t="s">
        <v>458</v>
      </c>
      <c r="G13" s="730" t="s">
        <v>457</v>
      </c>
      <c r="H13" s="722"/>
      <c r="I13" s="721" t="s">
        <v>457</v>
      </c>
      <c r="J13" s="722"/>
      <c r="K13" s="721" t="s">
        <v>457</v>
      </c>
      <c r="L13" s="731"/>
      <c r="M13" s="4"/>
      <c r="N13" s="725" t="s">
        <v>460</v>
      </c>
      <c r="O13" s="726"/>
      <c r="P13" s="727"/>
      <c r="Q13" s="728" t="s">
        <v>459</v>
      </c>
      <c r="R13" s="150" t="s">
        <v>458</v>
      </c>
      <c r="S13" s="730" t="s">
        <v>457</v>
      </c>
      <c r="T13" s="722"/>
      <c r="U13" s="721" t="s">
        <v>457</v>
      </c>
      <c r="V13" s="722"/>
      <c r="W13" s="721" t="s">
        <v>457</v>
      </c>
      <c r="X13" s="731"/>
    </row>
    <row r="14" spans="2:24" s="50" customFormat="1" ht="15" customHeight="1" thickBot="1" x14ac:dyDescent="0.2">
      <c r="B14" s="149"/>
      <c r="C14" s="738" t="s">
        <v>456</v>
      </c>
      <c r="D14" s="739"/>
      <c r="E14" s="729"/>
      <c r="F14" s="148" t="s">
        <v>158</v>
      </c>
      <c r="G14" s="147" t="s">
        <v>455</v>
      </c>
      <c r="H14" s="146" t="s">
        <v>454</v>
      </c>
      <c r="I14" s="145" t="s">
        <v>455</v>
      </c>
      <c r="J14" s="144" t="s">
        <v>454</v>
      </c>
      <c r="K14" s="143" t="s">
        <v>455</v>
      </c>
      <c r="L14" s="142" t="s">
        <v>454</v>
      </c>
      <c r="M14" s="155"/>
      <c r="N14" s="149"/>
      <c r="O14" s="738" t="s">
        <v>456</v>
      </c>
      <c r="P14" s="739"/>
      <c r="Q14" s="729"/>
      <c r="R14" s="148" t="s">
        <v>158</v>
      </c>
      <c r="S14" s="147" t="s">
        <v>455</v>
      </c>
      <c r="T14" s="146" t="s">
        <v>454</v>
      </c>
      <c r="U14" s="145" t="s">
        <v>455</v>
      </c>
      <c r="V14" s="144" t="s">
        <v>454</v>
      </c>
      <c r="W14" s="143" t="s">
        <v>455</v>
      </c>
      <c r="X14" s="142" t="s">
        <v>454</v>
      </c>
    </row>
    <row r="15" spans="2:24" ht="15" customHeight="1" x14ac:dyDescent="0.15">
      <c r="B15" s="141">
        <v>1</v>
      </c>
      <c r="C15" s="140" t="s">
        <v>453</v>
      </c>
      <c r="D15" s="139"/>
      <c r="E15" s="138" t="s">
        <v>377</v>
      </c>
      <c r="F15" s="137">
        <v>0.05</v>
      </c>
      <c r="G15" s="252" t="s">
        <v>316</v>
      </c>
      <c r="H15" s="253">
        <v>0</v>
      </c>
      <c r="I15" s="319" t="s">
        <v>316</v>
      </c>
      <c r="J15" s="253">
        <v>0</v>
      </c>
      <c r="K15" s="319" t="s">
        <v>316</v>
      </c>
      <c r="L15" s="348">
        <v>0</v>
      </c>
      <c r="M15" s="2"/>
      <c r="N15" s="136">
        <v>59</v>
      </c>
      <c r="O15" s="127" t="s">
        <v>452</v>
      </c>
      <c r="P15" s="126"/>
      <c r="Q15" s="125" t="s">
        <v>338</v>
      </c>
      <c r="R15" s="124">
        <v>0.08</v>
      </c>
      <c r="S15" s="254" t="s">
        <v>479</v>
      </c>
      <c r="T15" s="253">
        <v>0</v>
      </c>
      <c r="U15" s="319" t="s">
        <v>479</v>
      </c>
      <c r="V15" s="325">
        <v>0</v>
      </c>
      <c r="W15" s="319" t="s">
        <v>479</v>
      </c>
      <c r="X15" s="348">
        <v>0</v>
      </c>
    </row>
    <row r="16" spans="2:24" ht="15" customHeight="1" x14ac:dyDescent="0.15">
      <c r="B16" s="13">
        <v>2</v>
      </c>
      <c r="C16" s="127" t="s">
        <v>451</v>
      </c>
      <c r="D16" s="126"/>
      <c r="E16" s="125" t="s">
        <v>330</v>
      </c>
      <c r="F16" s="132">
        <v>0.08</v>
      </c>
      <c r="G16" s="254" t="s">
        <v>321</v>
      </c>
      <c r="H16" s="253">
        <v>0</v>
      </c>
      <c r="I16" s="320" t="s">
        <v>321</v>
      </c>
      <c r="J16" s="253">
        <v>0</v>
      </c>
      <c r="K16" s="320" t="s">
        <v>321</v>
      </c>
      <c r="L16" s="348">
        <v>0</v>
      </c>
      <c r="M16" s="2"/>
      <c r="N16" s="19">
        <v>60</v>
      </c>
      <c r="O16" s="127" t="s">
        <v>450</v>
      </c>
      <c r="P16" s="126"/>
      <c r="Q16" s="125" t="s">
        <v>332</v>
      </c>
      <c r="R16" s="124">
        <v>0.3</v>
      </c>
      <c r="S16" s="254" t="s">
        <v>323</v>
      </c>
      <c r="T16" s="253">
        <v>0</v>
      </c>
      <c r="U16" s="320" t="s">
        <v>323</v>
      </c>
      <c r="V16" s="325">
        <v>0</v>
      </c>
      <c r="W16" s="320" t="s">
        <v>323</v>
      </c>
      <c r="X16" s="348">
        <v>0</v>
      </c>
    </row>
    <row r="17" spans="2:24" ht="15" customHeight="1" x14ac:dyDescent="0.15">
      <c r="B17" s="13">
        <v>3</v>
      </c>
      <c r="C17" s="127" t="s">
        <v>449</v>
      </c>
      <c r="D17" s="126"/>
      <c r="E17" s="125" t="s">
        <v>330</v>
      </c>
      <c r="F17" s="132">
        <v>0.02</v>
      </c>
      <c r="G17" s="255" t="s">
        <v>311</v>
      </c>
      <c r="H17" s="253">
        <v>0</v>
      </c>
      <c r="I17" s="321" t="s">
        <v>311</v>
      </c>
      <c r="J17" s="253">
        <v>0</v>
      </c>
      <c r="K17" s="321" t="s">
        <v>311</v>
      </c>
      <c r="L17" s="348">
        <v>0</v>
      </c>
      <c r="M17" s="2"/>
      <c r="N17" s="19">
        <v>61</v>
      </c>
      <c r="O17" s="127" t="s">
        <v>448</v>
      </c>
      <c r="P17" s="126"/>
      <c r="Q17" s="125" t="s">
        <v>330</v>
      </c>
      <c r="R17" s="124">
        <v>0.02</v>
      </c>
      <c r="S17" s="254" t="s">
        <v>311</v>
      </c>
      <c r="T17" s="253">
        <v>0</v>
      </c>
      <c r="U17" s="320" t="s">
        <v>311</v>
      </c>
      <c r="V17" s="325">
        <v>0</v>
      </c>
      <c r="W17" s="320" t="s">
        <v>311</v>
      </c>
      <c r="X17" s="348">
        <v>0</v>
      </c>
    </row>
    <row r="18" spans="2:24" ht="15" customHeight="1" x14ac:dyDescent="0.15">
      <c r="B18" s="13">
        <v>4</v>
      </c>
      <c r="C18" s="127" t="s">
        <v>447</v>
      </c>
      <c r="D18" s="126"/>
      <c r="E18" s="125" t="s">
        <v>338</v>
      </c>
      <c r="F18" s="132">
        <v>4.0000000000000001E-3</v>
      </c>
      <c r="G18" s="254" t="s">
        <v>471</v>
      </c>
      <c r="H18" s="253">
        <v>0</v>
      </c>
      <c r="I18" s="320" t="s">
        <v>471</v>
      </c>
      <c r="J18" s="253">
        <v>0</v>
      </c>
      <c r="K18" s="320" t="s">
        <v>471</v>
      </c>
      <c r="L18" s="348">
        <v>0</v>
      </c>
      <c r="M18" s="2"/>
      <c r="N18" s="19">
        <v>62</v>
      </c>
      <c r="O18" s="127" t="s">
        <v>574</v>
      </c>
      <c r="P18" s="126"/>
      <c r="Q18" s="125" t="s">
        <v>330</v>
      </c>
      <c r="R18" s="124">
        <v>2E-3</v>
      </c>
      <c r="S18" s="254" t="s">
        <v>577</v>
      </c>
      <c r="T18" s="253">
        <v>0</v>
      </c>
      <c r="U18" s="320" t="s">
        <v>577</v>
      </c>
      <c r="V18" s="325">
        <v>0</v>
      </c>
      <c r="W18" s="320" t="s">
        <v>577</v>
      </c>
      <c r="X18" s="348">
        <v>0</v>
      </c>
    </row>
    <row r="19" spans="2:24" ht="15" customHeight="1" x14ac:dyDescent="0.15">
      <c r="B19" s="13">
        <v>5</v>
      </c>
      <c r="C19" s="127" t="s">
        <v>446</v>
      </c>
      <c r="D19" s="126"/>
      <c r="E19" s="125" t="s">
        <v>330</v>
      </c>
      <c r="F19" s="132">
        <v>5.0000000000000001E-3</v>
      </c>
      <c r="G19" s="254" t="s">
        <v>305</v>
      </c>
      <c r="H19" s="253">
        <v>0</v>
      </c>
      <c r="I19" s="320" t="s">
        <v>305</v>
      </c>
      <c r="J19" s="253">
        <v>0</v>
      </c>
      <c r="K19" s="320" t="s">
        <v>305</v>
      </c>
      <c r="L19" s="348">
        <v>0</v>
      </c>
      <c r="M19" s="2"/>
      <c r="N19" s="19">
        <v>63</v>
      </c>
      <c r="O19" s="127" t="s">
        <v>575</v>
      </c>
      <c r="P19" s="126"/>
      <c r="Q19" s="125" t="s">
        <v>330</v>
      </c>
      <c r="R19" s="124">
        <v>0.02</v>
      </c>
      <c r="S19" s="254" t="s">
        <v>578</v>
      </c>
      <c r="T19" s="253">
        <v>0</v>
      </c>
      <c r="U19" s="320" t="s">
        <v>578</v>
      </c>
      <c r="V19" s="325">
        <v>0</v>
      </c>
      <c r="W19" s="320" t="s">
        <v>578</v>
      </c>
      <c r="X19" s="348">
        <v>0</v>
      </c>
    </row>
    <row r="20" spans="2:24" ht="15" customHeight="1" x14ac:dyDescent="0.15">
      <c r="B20" s="13">
        <v>6</v>
      </c>
      <c r="C20" s="127" t="s">
        <v>445</v>
      </c>
      <c r="D20" s="126"/>
      <c r="E20" s="125" t="s">
        <v>330</v>
      </c>
      <c r="F20" s="132">
        <v>0.9</v>
      </c>
      <c r="G20" s="254" t="s">
        <v>472</v>
      </c>
      <c r="H20" s="253">
        <v>0</v>
      </c>
      <c r="I20" s="320" t="s">
        <v>472</v>
      </c>
      <c r="J20" s="253">
        <v>0</v>
      </c>
      <c r="K20" s="320" t="s">
        <v>472</v>
      </c>
      <c r="L20" s="348">
        <v>0</v>
      </c>
      <c r="M20" s="2"/>
      <c r="N20" s="19">
        <v>64</v>
      </c>
      <c r="O20" s="127" t="s">
        <v>444</v>
      </c>
      <c r="P20" s="126"/>
      <c r="Q20" s="125" t="s">
        <v>330</v>
      </c>
      <c r="R20" s="124">
        <v>6.0000000000000001E-3</v>
      </c>
      <c r="S20" s="254" t="s">
        <v>473</v>
      </c>
      <c r="T20" s="253">
        <v>0</v>
      </c>
      <c r="U20" s="320" t="s">
        <v>576</v>
      </c>
      <c r="V20" s="325">
        <v>0</v>
      </c>
      <c r="W20" s="320" t="s">
        <v>473</v>
      </c>
      <c r="X20" s="348">
        <v>0</v>
      </c>
    </row>
    <row r="21" spans="2:24" ht="15" customHeight="1" x14ac:dyDescent="0.15">
      <c r="B21" s="13">
        <v>7</v>
      </c>
      <c r="C21" s="127" t="s">
        <v>443</v>
      </c>
      <c r="D21" s="126"/>
      <c r="E21" s="125" t="s">
        <v>332</v>
      </c>
      <c r="F21" s="132">
        <v>6.0000000000000001E-3</v>
      </c>
      <c r="G21" s="254" t="s">
        <v>473</v>
      </c>
      <c r="H21" s="253">
        <v>0</v>
      </c>
      <c r="I21" s="320" t="s">
        <v>473</v>
      </c>
      <c r="J21" s="253">
        <v>0</v>
      </c>
      <c r="K21" s="320" t="s">
        <v>473</v>
      </c>
      <c r="L21" s="348">
        <v>0</v>
      </c>
      <c r="M21" s="2"/>
      <c r="N21" s="19">
        <v>65</v>
      </c>
      <c r="O21" s="127" t="s">
        <v>442</v>
      </c>
      <c r="P21" s="126"/>
      <c r="Q21" s="125" t="s">
        <v>338</v>
      </c>
      <c r="R21" s="124">
        <v>5.0000000000000001E-3</v>
      </c>
      <c r="S21" s="254" t="s">
        <v>305</v>
      </c>
      <c r="T21" s="253">
        <v>0</v>
      </c>
      <c r="U21" s="320" t="s">
        <v>305</v>
      </c>
      <c r="V21" s="325">
        <v>0</v>
      </c>
      <c r="W21" s="320" t="s">
        <v>305</v>
      </c>
      <c r="X21" s="348">
        <v>0</v>
      </c>
    </row>
    <row r="22" spans="2:24" ht="30" customHeight="1" x14ac:dyDescent="0.15">
      <c r="B22" s="13">
        <v>8</v>
      </c>
      <c r="C22" s="127" t="s">
        <v>441</v>
      </c>
      <c r="D22" s="126"/>
      <c r="E22" s="125" t="s">
        <v>330</v>
      </c>
      <c r="F22" s="132">
        <v>0.01</v>
      </c>
      <c r="G22" s="254" t="s">
        <v>474</v>
      </c>
      <c r="H22" s="253">
        <v>0</v>
      </c>
      <c r="I22" s="320" t="s">
        <v>474</v>
      </c>
      <c r="J22" s="253">
        <v>0</v>
      </c>
      <c r="K22" s="320" t="s">
        <v>474</v>
      </c>
      <c r="L22" s="348">
        <v>0</v>
      </c>
      <c r="M22" s="2"/>
      <c r="N22" s="19">
        <v>66</v>
      </c>
      <c r="O22" s="127" t="s">
        <v>440</v>
      </c>
      <c r="P22" s="126"/>
      <c r="Q22" s="135" t="s">
        <v>415</v>
      </c>
      <c r="R22" s="124">
        <v>0.1</v>
      </c>
      <c r="S22" s="254" t="s">
        <v>306</v>
      </c>
      <c r="T22" s="253">
        <v>0</v>
      </c>
      <c r="U22" s="320" t="s">
        <v>306</v>
      </c>
      <c r="V22" s="325">
        <v>0</v>
      </c>
      <c r="W22" s="320" t="s">
        <v>306</v>
      </c>
      <c r="X22" s="348">
        <v>0</v>
      </c>
    </row>
    <row r="23" spans="2:24" ht="15" customHeight="1" x14ac:dyDescent="0.15">
      <c r="B23" s="13">
        <v>9</v>
      </c>
      <c r="C23" s="127" t="s">
        <v>439</v>
      </c>
      <c r="D23" s="126"/>
      <c r="E23" s="125" t="s">
        <v>330</v>
      </c>
      <c r="F23" s="132">
        <v>3.0000000000000001E-3</v>
      </c>
      <c r="G23" s="254" t="s">
        <v>475</v>
      </c>
      <c r="H23" s="253">
        <v>0</v>
      </c>
      <c r="I23" s="320" t="s">
        <v>475</v>
      </c>
      <c r="J23" s="253">
        <v>0</v>
      </c>
      <c r="K23" s="320" t="s">
        <v>475</v>
      </c>
      <c r="L23" s="348">
        <v>0</v>
      </c>
      <c r="M23" s="2"/>
      <c r="N23" s="19">
        <v>67</v>
      </c>
      <c r="O23" s="127" t="s">
        <v>438</v>
      </c>
      <c r="P23" s="126"/>
      <c r="Q23" s="125" t="s">
        <v>330</v>
      </c>
      <c r="R23" s="124">
        <v>0.06</v>
      </c>
      <c r="S23" s="254" t="s">
        <v>486</v>
      </c>
      <c r="T23" s="253">
        <v>0</v>
      </c>
      <c r="U23" s="320" t="s">
        <v>486</v>
      </c>
      <c r="V23" s="325">
        <v>0</v>
      </c>
      <c r="W23" s="320" t="s">
        <v>486</v>
      </c>
      <c r="X23" s="348">
        <v>0</v>
      </c>
    </row>
    <row r="24" spans="2:24" ht="15" customHeight="1" x14ac:dyDescent="0.15">
      <c r="B24" s="13">
        <v>10</v>
      </c>
      <c r="C24" s="127" t="s">
        <v>437</v>
      </c>
      <c r="D24" s="126"/>
      <c r="E24" s="125" t="s">
        <v>338</v>
      </c>
      <c r="F24" s="132">
        <v>6.0000000000000001E-3</v>
      </c>
      <c r="G24" s="254" t="s">
        <v>473</v>
      </c>
      <c r="H24" s="253">
        <v>0</v>
      </c>
      <c r="I24" s="320" t="s">
        <v>473</v>
      </c>
      <c r="J24" s="253">
        <v>0</v>
      </c>
      <c r="K24" s="320" t="s">
        <v>473</v>
      </c>
      <c r="L24" s="348">
        <v>0</v>
      </c>
      <c r="M24" s="2"/>
      <c r="N24" s="19">
        <v>68</v>
      </c>
      <c r="O24" s="127" t="s">
        <v>436</v>
      </c>
      <c r="P24" s="126"/>
      <c r="Q24" s="125" t="s">
        <v>330</v>
      </c>
      <c r="R24" s="124">
        <v>0.03</v>
      </c>
      <c r="S24" s="254" t="s">
        <v>304</v>
      </c>
      <c r="T24" s="253">
        <v>0</v>
      </c>
      <c r="U24" s="320" t="s">
        <v>304</v>
      </c>
      <c r="V24" s="325">
        <v>0</v>
      </c>
      <c r="W24" s="320" t="s">
        <v>304</v>
      </c>
      <c r="X24" s="348">
        <v>0</v>
      </c>
    </row>
    <row r="25" spans="2:24" ht="15" customHeight="1" x14ac:dyDescent="0.15">
      <c r="B25" s="13">
        <v>11</v>
      </c>
      <c r="C25" s="127" t="s">
        <v>435</v>
      </c>
      <c r="D25" s="126"/>
      <c r="E25" s="125" t="s">
        <v>330</v>
      </c>
      <c r="F25" s="132">
        <v>0.03</v>
      </c>
      <c r="G25" s="254" t="s">
        <v>304</v>
      </c>
      <c r="H25" s="253">
        <v>0</v>
      </c>
      <c r="I25" s="320" t="s">
        <v>304</v>
      </c>
      <c r="J25" s="253">
        <v>0</v>
      </c>
      <c r="K25" s="320" t="s">
        <v>304</v>
      </c>
      <c r="L25" s="348">
        <v>0</v>
      </c>
      <c r="M25" s="2"/>
      <c r="N25" s="19">
        <v>69</v>
      </c>
      <c r="O25" s="127" t="s">
        <v>434</v>
      </c>
      <c r="P25" s="126"/>
      <c r="Q25" s="125" t="s">
        <v>330</v>
      </c>
      <c r="R25" s="124">
        <v>5.0000000000000001E-3</v>
      </c>
      <c r="S25" s="254" t="s">
        <v>305</v>
      </c>
      <c r="T25" s="253">
        <v>0</v>
      </c>
      <c r="U25" s="320" t="s">
        <v>305</v>
      </c>
      <c r="V25" s="325">
        <v>0</v>
      </c>
      <c r="W25" s="320" t="s">
        <v>305</v>
      </c>
      <c r="X25" s="348">
        <v>0</v>
      </c>
    </row>
    <row r="26" spans="2:24" ht="15" customHeight="1" x14ac:dyDescent="0.15">
      <c r="B26" s="13">
        <v>12</v>
      </c>
      <c r="C26" s="127" t="s">
        <v>433</v>
      </c>
      <c r="D26" s="126"/>
      <c r="E26" s="125" t="s">
        <v>338</v>
      </c>
      <c r="F26" s="132">
        <v>5.0000000000000001E-3</v>
      </c>
      <c r="G26" s="254" t="s">
        <v>305</v>
      </c>
      <c r="H26" s="253">
        <v>0</v>
      </c>
      <c r="I26" s="320" t="s">
        <v>305</v>
      </c>
      <c r="J26" s="253">
        <v>0</v>
      </c>
      <c r="K26" s="320" t="s">
        <v>305</v>
      </c>
      <c r="L26" s="348">
        <v>0</v>
      </c>
      <c r="M26" s="2"/>
      <c r="N26" s="19">
        <v>70</v>
      </c>
      <c r="O26" s="127" t="s">
        <v>432</v>
      </c>
      <c r="P26" s="126"/>
      <c r="Q26" s="125" t="s">
        <v>330</v>
      </c>
      <c r="R26" s="124">
        <v>8.9999999999999998E-4</v>
      </c>
      <c r="S26" s="254" t="s">
        <v>487</v>
      </c>
      <c r="T26" s="253">
        <v>0</v>
      </c>
      <c r="U26" s="320" t="s">
        <v>487</v>
      </c>
      <c r="V26" s="325">
        <v>0</v>
      </c>
      <c r="W26" s="320" t="s">
        <v>487</v>
      </c>
      <c r="X26" s="348">
        <v>0</v>
      </c>
    </row>
    <row r="27" spans="2:24" ht="15" customHeight="1" x14ac:dyDescent="0.15">
      <c r="B27" s="13">
        <v>13</v>
      </c>
      <c r="C27" s="127" t="s">
        <v>431</v>
      </c>
      <c r="D27" s="126"/>
      <c r="E27" s="125" t="s">
        <v>377</v>
      </c>
      <c r="F27" s="132">
        <v>1E-3</v>
      </c>
      <c r="G27" s="254" t="s">
        <v>476</v>
      </c>
      <c r="H27" s="253">
        <v>0</v>
      </c>
      <c r="I27" s="320" t="s">
        <v>476</v>
      </c>
      <c r="J27" s="253">
        <v>0</v>
      </c>
      <c r="K27" s="320" t="s">
        <v>476</v>
      </c>
      <c r="L27" s="348">
        <v>0</v>
      </c>
      <c r="M27" s="2"/>
      <c r="N27" s="19">
        <v>71</v>
      </c>
      <c r="O27" s="127" t="s">
        <v>430</v>
      </c>
      <c r="P27" s="126"/>
      <c r="Q27" s="125" t="s">
        <v>330</v>
      </c>
      <c r="R27" s="124">
        <v>0.01</v>
      </c>
      <c r="S27" s="254" t="s">
        <v>474</v>
      </c>
      <c r="T27" s="253">
        <v>0</v>
      </c>
      <c r="U27" s="320" t="s">
        <v>474</v>
      </c>
      <c r="V27" s="325">
        <v>0</v>
      </c>
      <c r="W27" s="320" t="s">
        <v>474</v>
      </c>
      <c r="X27" s="348">
        <v>0</v>
      </c>
    </row>
    <row r="28" spans="2:24" ht="15" customHeight="1" x14ac:dyDescent="0.15">
      <c r="B28" s="13">
        <v>14</v>
      </c>
      <c r="C28" s="127" t="s">
        <v>429</v>
      </c>
      <c r="D28" s="126"/>
      <c r="E28" s="125" t="s">
        <v>338</v>
      </c>
      <c r="F28" s="132">
        <v>0.01</v>
      </c>
      <c r="G28" s="254" t="s">
        <v>474</v>
      </c>
      <c r="H28" s="253">
        <v>0</v>
      </c>
      <c r="I28" s="320" t="s">
        <v>474</v>
      </c>
      <c r="J28" s="253">
        <v>0</v>
      </c>
      <c r="K28" s="320" t="s">
        <v>474</v>
      </c>
      <c r="L28" s="348">
        <v>0</v>
      </c>
      <c r="M28" s="2"/>
      <c r="N28" s="19">
        <v>72</v>
      </c>
      <c r="O28" s="127" t="s">
        <v>428</v>
      </c>
      <c r="P28" s="126"/>
      <c r="Q28" s="125" t="s">
        <v>330</v>
      </c>
      <c r="R28" s="124">
        <v>4.0000000000000001E-3</v>
      </c>
      <c r="S28" s="254" t="s">
        <v>471</v>
      </c>
      <c r="T28" s="253">
        <v>0</v>
      </c>
      <c r="U28" s="320" t="s">
        <v>471</v>
      </c>
      <c r="V28" s="325">
        <v>0</v>
      </c>
      <c r="W28" s="320" t="s">
        <v>471</v>
      </c>
      <c r="X28" s="348">
        <v>0</v>
      </c>
    </row>
    <row r="29" spans="2:24" ht="30" customHeight="1" x14ac:dyDescent="0.15">
      <c r="B29" s="13">
        <v>15</v>
      </c>
      <c r="C29" s="127" t="s">
        <v>427</v>
      </c>
      <c r="D29" s="126"/>
      <c r="E29" s="135" t="s">
        <v>415</v>
      </c>
      <c r="F29" s="132">
        <v>0.3</v>
      </c>
      <c r="G29" s="254" t="s">
        <v>323</v>
      </c>
      <c r="H29" s="253">
        <v>0</v>
      </c>
      <c r="I29" s="320" t="s">
        <v>323</v>
      </c>
      <c r="J29" s="253">
        <v>0</v>
      </c>
      <c r="K29" s="320" t="s">
        <v>323</v>
      </c>
      <c r="L29" s="348">
        <v>0</v>
      </c>
      <c r="M29" s="2"/>
      <c r="N29" s="19">
        <v>73</v>
      </c>
      <c r="O29" s="127" t="s">
        <v>426</v>
      </c>
      <c r="P29" s="126"/>
      <c r="Q29" s="125" t="s">
        <v>330</v>
      </c>
      <c r="R29" s="124">
        <v>0.02</v>
      </c>
      <c r="S29" s="254" t="s">
        <v>311</v>
      </c>
      <c r="T29" s="253">
        <v>0</v>
      </c>
      <c r="U29" s="320" t="s">
        <v>311</v>
      </c>
      <c r="V29" s="325">
        <v>0</v>
      </c>
      <c r="W29" s="320" t="s">
        <v>311</v>
      </c>
      <c r="X29" s="348">
        <v>0</v>
      </c>
    </row>
    <row r="30" spans="2:24" ht="15" customHeight="1" x14ac:dyDescent="0.15">
      <c r="B30" s="13">
        <v>16</v>
      </c>
      <c r="C30" s="127" t="s">
        <v>497</v>
      </c>
      <c r="D30" s="126"/>
      <c r="E30" s="125" t="s">
        <v>330</v>
      </c>
      <c r="F30" s="132">
        <v>2E-3</v>
      </c>
      <c r="G30" s="254" t="s">
        <v>520</v>
      </c>
      <c r="H30" s="253">
        <v>0</v>
      </c>
      <c r="I30" s="320" t="s">
        <v>485</v>
      </c>
      <c r="J30" s="253">
        <v>0</v>
      </c>
      <c r="K30" s="320" t="s">
        <v>485</v>
      </c>
      <c r="L30" s="348">
        <v>0</v>
      </c>
      <c r="M30" s="2"/>
      <c r="N30" s="19">
        <v>74</v>
      </c>
      <c r="O30" s="127" t="s">
        <v>424</v>
      </c>
      <c r="P30" s="126"/>
      <c r="Q30" s="125" t="s">
        <v>338</v>
      </c>
      <c r="R30" s="124">
        <v>2E-3</v>
      </c>
      <c r="S30" s="254" t="s">
        <v>485</v>
      </c>
      <c r="T30" s="253">
        <v>0</v>
      </c>
      <c r="U30" s="320" t="s">
        <v>485</v>
      </c>
      <c r="V30" s="325">
        <v>0</v>
      </c>
      <c r="W30" s="320" t="s">
        <v>485</v>
      </c>
      <c r="X30" s="348">
        <v>0</v>
      </c>
    </row>
    <row r="31" spans="2:24" ht="15" customHeight="1" x14ac:dyDescent="0.15">
      <c r="B31" s="13">
        <v>17</v>
      </c>
      <c r="C31" s="127" t="s">
        <v>425</v>
      </c>
      <c r="D31" s="126"/>
      <c r="E31" s="125" t="s">
        <v>377</v>
      </c>
      <c r="F31" s="132">
        <v>0.09</v>
      </c>
      <c r="G31" s="254" t="s">
        <v>477</v>
      </c>
      <c r="H31" s="253">
        <v>0</v>
      </c>
      <c r="I31" s="320" t="s">
        <v>477</v>
      </c>
      <c r="J31" s="253">
        <v>0</v>
      </c>
      <c r="K31" s="320" t="s">
        <v>477</v>
      </c>
      <c r="L31" s="348">
        <v>0</v>
      </c>
      <c r="M31" s="2"/>
      <c r="N31" s="19">
        <v>75</v>
      </c>
      <c r="O31" s="127" t="s">
        <v>422</v>
      </c>
      <c r="P31" s="126"/>
      <c r="Q31" s="125" t="s">
        <v>330</v>
      </c>
      <c r="R31" s="124">
        <v>0.02</v>
      </c>
      <c r="S31" s="254" t="s">
        <v>311</v>
      </c>
      <c r="T31" s="253">
        <v>0</v>
      </c>
      <c r="U31" s="320" t="s">
        <v>311</v>
      </c>
      <c r="V31" s="325">
        <v>0</v>
      </c>
      <c r="W31" s="320" t="s">
        <v>311</v>
      </c>
      <c r="X31" s="348">
        <v>0</v>
      </c>
    </row>
    <row r="32" spans="2:24" ht="15" customHeight="1" x14ac:dyDescent="0.15">
      <c r="B32" s="13">
        <v>18</v>
      </c>
      <c r="C32" s="127" t="s">
        <v>423</v>
      </c>
      <c r="D32" s="126"/>
      <c r="E32" s="125" t="s">
        <v>332</v>
      </c>
      <c r="F32" s="132">
        <v>6.0000000000000001E-3</v>
      </c>
      <c r="G32" s="254" t="s">
        <v>473</v>
      </c>
      <c r="H32" s="253">
        <v>0</v>
      </c>
      <c r="I32" s="320" t="s">
        <v>473</v>
      </c>
      <c r="J32" s="253">
        <v>0</v>
      </c>
      <c r="K32" s="320" t="s">
        <v>473</v>
      </c>
      <c r="L32" s="348">
        <v>0</v>
      </c>
      <c r="M32" s="2"/>
      <c r="N32" s="19">
        <v>76</v>
      </c>
      <c r="O32" s="127" t="s">
        <v>420</v>
      </c>
      <c r="P32" s="126"/>
      <c r="Q32" s="125" t="s">
        <v>332</v>
      </c>
      <c r="R32" s="124">
        <v>0.05</v>
      </c>
      <c r="S32" s="254" t="s">
        <v>316</v>
      </c>
      <c r="T32" s="253">
        <v>0</v>
      </c>
      <c r="U32" s="320" t="s">
        <v>316</v>
      </c>
      <c r="V32" s="325">
        <v>0</v>
      </c>
      <c r="W32" s="320" t="s">
        <v>316</v>
      </c>
      <c r="X32" s="348">
        <v>0</v>
      </c>
    </row>
    <row r="33" spans="2:24" ht="15" customHeight="1" x14ac:dyDescent="0.15">
      <c r="B33" s="13">
        <v>19</v>
      </c>
      <c r="C33" s="127" t="s">
        <v>421</v>
      </c>
      <c r="D33" s="126"/>
      <c r="E33" s="125" t="s">
        <v>330</v>
      </c>
      <c r="F33" s="132">
        <v>8.9999999999999993E-3</v>
      </c>
      <c r="G33" s="254" t="s">
        <v>478</v>
      </c>
      <c r="H33" s="253">
        <v>0</v>
      </c>
      <c r="I33" s="320" t="s">
        <v>478</v>
      </c>
      <c r="J33" s="253">
        <v>0</v>
      </c>
      <c r="K33" s="320" t="s">
        <v>478</v>
      </c>
      <c r="L33" s="348">
        <v>0</v>
      </c>
      <c r="M33" s="2"/>
      <c r="N33" s="19">
        <v>77</v>
      </c>
      <c r="O33" s="127" t="s">
        <v>418</v>
      </c>
      <c r="P33" s="126"/>
      <c r="Q33" s="125" t="s">
        <v>332</v>
      </c>
      <c r="R33" s="124">
        <v>5.0000000000000001E-4</v>
      </c>
      <c r="S33" s="254" t="s">
        <v>488</v>
      </c>
      <c r="T33" s="253">
        <v>0</v>
      </c>
      <c r="U33" s="320" t="s">
        <v>488</v>
      </c>
      <c r="V33" s="325">
        <v>0</v>
      </c>
      <c r="W33" s="320" t="s">
        <v>488</v>
      </c>
      <c r="X33" s="348">
        <v>0</v>
      </c>
    </row>
    <row r="34" spans="2:24" ht="30" customHeight="1" x14ac:dyDescent="0.15">
      <c r="B34" s="13">
        <v>20</v>
      </c>
      <c r="C34" s="127" t="s">
        <v>419</v>
      </c>
      <c r="D34" s="126"/>
      <c r="E34" s="125" t="s">
        <v>330</v>
      </c>
      <c r="F34" s="132">
        <v>0.03</v>
      </c>
      <c r="G34" s="254" t="s">
        <v>304</v>
      </c>
      <c r="H34" s="253">
        <v>0</v>
      </c>
      <c r="I34" s="320" t="s">
        <v>304</v>
      </c>
      <c r="J34" s="253">
        <v>0</v>
      </c>
      <c r="K34" s="320" t="s">
        <v>304</v>
      </c>
      <c r="L34" s="348">
        <v>0</v>
      </c>
      <c r="M34" s="2"/>
      <c r="N34" s="19">
        <v>78</v>
      </c>
      <c r="O34" s="127" t="s">
        <v>416</v>
      </c>
      <c r="P34" s="126"/>
      <c r="Q34" s="135" t="s">
        <v>415</v>
      </c>
      <c r="R34" s="124">
        <v>0.01</v>
      </c>
      <c r="S34" s="254" t="s">
        <v>474</v>
      </c>
      <c r="T34" s="253">
        <v>0</v>
      </c>
      <c r="U34" s="320" t="s">
        <v>474</v>
      </c>
      <c r="V34" s="325">
        <v>0</v>
      </c>
      <c r="W34" s="320" t="s">
        <v>474</v>
      </c>
      <c r="X34" s="348">
        <v>0</v>
      </c>
    </row>
    <row r="35" spans="2:24" ht="15" customHeight="1" x14ac:dyDescent="0.15">
      <c r="B35" s="13">
        <v>21</v>
      </c>
      <c r="C35" s="127" t="s">
        <v>417</v>
      </c>
      <c r="D35" s="126"/>
      <c r="E35" s="125" t="s">
        <v>332</v>
      </c>
      <c r="F35" s="132">
        <v>0.08</v>
      </c>
      <c r="G35" s="254" t="s">
        <v>479</v>
      </c>
      <c r="H35" s="253">
        <v>0</v>
      </c>
      <c r="I35" s="320" t="s">
        <v>479</v>
      </c>
      <c r="J35" s="253">
        <v>0</v>
      </c>
      <c r="K35" s="320" t="s">
        <v>479</v>
      </c>
      <c r="L35" s="348">
        <v>0</v>
      </c>
      <c r="M35" s="2"/>
      <c r="N35" s="19">
        <v>79</v>
      </c>
      <c r="O35" s="127" t="s">
        <v>413</v>
      </c>
      <c r="P35" s="126"/>
      <c r="Q35" s="125" t="s">
        <v>332</v>
      </c>
      <c r="R35" s="124">
        <v>0.03</v>
      </c>
      <c r="S35" s="254" t="s">
        <v>304</v>
      </c>
      <c r="T35" s="253">
        <v>0</v>
      </c>
      <c r="U35" s="320" t="s">
        <v>304</v>
      </c>
      <c r="V35" s="325">
        <v>0</v>
      </c>
      <c r="W35" s="320" t="s">
        <v>304</v>
      </c>
      <c r="X35" s="348">
        <v>0</v>
      </c>
    </row>
    <row r="36" spans="2:24" ht="15" customHeight="1" x14ac:dyDescent="0.15">
      <c r="B36" s="13">
        <v>22</v>
      </c>
      <c r="C36" s="127" t="s">
        <v>414</v>
      </c>
      <c r="D36" s="126"/>
      <c r="E36" s="125" t="s">
        <v>338</v>
      </c>
      <c r="F36" s="132">
        <v>0.01</v>
      </c>
      <c r="G36" s="254" t="s">
        <v>474</v>
      </c>
      <c r="H36" s="253">
        <v>0</v>
      </c>
      <c r="I36" s="320" t="s">
        <v>474</v>
      </c>
      <c r="J36" s="253">
        <v>0</v>
      </c>
      <c r="K36" s="320" t="s">
        <v>474</v>
      </c>
      <c r="L36" s="348">
        <v>0</v>
      </c>
      <c r="M36" s="2"/>
      <c r="N36" s="19">
        <v>80</v>
      </c>
      <c r="O36" s="127" t="s">
        <v>411</v>
      </c>
      <c r="P36" s="126"/>
      <c r="Q36" s="125" t="s">
        <v>332</v>
      </c>
      <c r="R36" s="124">
        <v>0.05</v>
      </c>
      <c r="S36" s="254" t="s">
        <v>316</v>
      </c>
      <c r="T36" s="253">
        <v>0</v>
      </c>
      <c r="U36" s="320" t="s">
        <v>316</v>
      </c>
      <c r="V36" s="325">
        <v>0</v>
      </c>
      <c r="W36" s="320" t="s">
        <v>316</v>
      </c>
      <c r="X36" s="348">
        <v>0</v>
      </c>
    </row>
    <row r="37" spans="2:24" ht="15" customHeight="1" x14ac:dyDescent="0.15">
      <c r="B37" s="13">
        <v>23</v>
      </c>
      <c r="C37" s="127" t="s">
        <v>412</v>
      </c>
      <c r="D37" s="126"/>
      <c r="E37" s="125" t="s">
        <v>330</v>
      </c>
      <c r="F37" s="132">
        <v>0.02</v>
      </c>
      <c r="G37" s="254" t="s">
        <v>311</v>
      </c>
      <c r="H37" s="253">
        <v>0</v>
      </c>
      <c r="I37" s="320" t="s">
        <v>311</v>
      </c>
      <c r="J37" s="253">
        <v>0</v>
      </c>
      <c r="K37" s="320" t="s">
        <v>311</v>
      </c>
      <c r="L37" s="348">
        <v>0</v>
      </c>
      <c r="M37" s="2"/>
      <c r="N37" s="19">
        <v>81</v>
      </c>
      <c r="O37" s="127" t="s">
        <v>409</v>
      </c>
      <c r="P37" s="126"/>
      <c r="Q37" s="125" t="s">
        <v>338</v>
      </c>
      <c r="R37" s="124">
        <v>6.0000000000000001E-3</v>
      </c>
      <c r="S37" s="254" t="s">
        <v>473</v>
      </c>
      <c r="T37" s="253">
        <v>0</v>
      </c>
      <c r="U37" s="320" t="s">
        <v>473</v>
      </c>
      <c r="V37" s="325">
        <v>0</v>
      </c>
      <c r="W37" s="320" t="s">
        <v>473</v>
      </c>
      <c r="X37" s="348">
        <v>0</v>
      </c>
    </row>
    <row r="38" spans="2:24" ht="15" customHeight="1" x14ac:dyDescent="0.15">
      <c r="B38" s="13">
        <v>24</v>
      </c>
      <c r="C38" s="127" t="s">
        <v>410</v>
      </c>
      <c r="D38" s="126"/>
      <c r="E38" s="125" t="s">
        <v>332</v>
      </c>
      <c r="F38" s="132">
        <v>0.03</v>
      </c>
      <c r="G38" s="254" t="s">
        <v>304</v>
      </c>
      <c r="H38" s="253">
        <v>0</v>
      </c>
      <c r="I38" s="320" t="s">
        <v>304</v>
      </c>
      <c r="J38" s="253">
        <v>0</v>
      </c>
      <c r="K38" s="320" t="s">
        <v>304</v>
      </c>
      <c r="L38" s="348">
        <v>0</v>
      </c>
      <c r="M38" s="2"/>
      <c r="N38" s="19">
        <v>82</v>
      </c>
      <c r="O38" s="127" t="s">
        <v>407</v>
      </c>
      <c r="P38" s="126"/>
      <c r="Q38" s="125" t="s">
        <v>332</v>
      </c>
      <c r="R38" s="124">
        <v>7.0000000000000001E-3</v>
      </c>
      <c r="S38" s="254" t="s">
        <v>489</v>
      </c>
      <c r="T38" s="253">
        <v>0</v>
      </c>
      <c r="U38" s="320" t="s">
        <v>489</v>
      </c>
      <c r="V38" s="325">
        <v>0</v>
      </c>
      <c r="W38" s="320" t="s">
        <v>489</v>
      </c>
      <c r="X38" s="348">
        <v>0</v>
      </c>
    </row>
    <row r="39" spans="2:24" ht="15" customHeight="1" x14ac:dyDescent="0.15">
      <c r="B39" s="13">
        <v>25</v>
      </c>
      <c r="C39" s="127" t="s">
        <v>408</v>
      </c>
      <c r="D39" s="126"/>
      <c r="E39" s="125" t="s">
        <v>332</v>
      </c>
      <c r="F39" s="132">
        <v>0.1</v>
      </c>
      <c r="G39" s="254" t="s">
        <v>306</v>
      </c>
      <c r="H39" s="253">
        <v>0</v>
      </c>
      <c r="I39" s="320" t="s">
        <v>306</v>
      </c>
      <c r="J39" s="253">
        <v>0</v>
      </c>
      <c r="K39" s="320" t="s">
        <v>306</v>
      </c>
      <c r="L39" s="348">
        <v>0</v>
      </c>
      <c r="M39" s="2"/>
      <c r="N39" s="19">
        <v>83</v>
      </c>
      <c r="O39" s="127" t="s">
        <v>405</v>
      </c>
      <c r="P39" s="126"/>
      <c r="Q39" s="125" t="s">
        <v>330</v>
      </c>
      <c r="R39" s="124">
        <v>0.01</v>
      </c>
      <c r="S39" s="254" t="s">
        <v>474</v>
      </c>
      <c r="T39" s="253">
        <v>0</v>
      </c>
      <c r="U39" s="320" t="s">
        <v>474</v>
      </c>
      <c r="V39" s="325">
        <v>0</v>
      </c>
      <c r="W39" s="320" t="s">
        <v>474</v>
      </c>
      <c r="X39" s="348">
        <v>0</v>
      </c>
    </row>
    <row r="40" spans="2:24" ht="15" customHeight="1" x14ac:dyDescent="0.15">
      <c r="B40" s="13">
        <v>26</v>
      </c>
      <c r="C40" s="127" t="s">
        <v>406</v>
      </c>
      <c r="D40" s="126"/>
      <c r="E40" s="125" t="s">
        <v>338</v>
      </c>
      <c r="F40" s="132">
        <v>5.9999999999999995E-4</v>
      </c>
      <c r="G40" s="254" t="s">
        <v>480</v>
      </c>
      <c r="H40" s="253">
        <v>0</v>
      </c>
      <c r="I40" s="320" t="s">
        <v>480</v>
      </c>
      <c r="J40" s="253">
        <v>0</v>
      </c>
      <c r="K40" s="320" t="s">
        <v>480</v>
      </c>
      <c r="L40" s="348">
        <v>0</v>
      </c>
      <c r="M40" s="2"/>
      <c r="N40" s="19">
        <v>84</v>
      </c>
      <c r="O40" s="127" t="s">
        <v>403</v>
      </c>
      <c r="P40" s="126"/>
      <c r="Q40" s="125" t="s">
        <v>332</v>
      </c>
      <c r="R40" s="124">
        <v>0.1</v>
      </c>
      <c r="S40" s="254" t="s">
        <v>306</v>
      </c>
      <c r="T40" s="253">
        <v>0</v>
      </c>
      <c r="U40" s="320" t="s">
        <v>306</v>
      </c>
      <c r="V40" s="325">
        <v>0</v>
      </c>
      <c r="W40" s="320" t="s">
        <v>306</v>
      </c>
      <c r="X40" s="348">
        <v>0</v>
      </c>
    </row>
    <row r="41" spans="2:24" ht="15" customHeight="1" x14ac:dyDescent="0.15">
      <c r="B41" s="13">
        <v>27</v>
      </c>
      <c r="C41" s="127" t="s">
        <v>404</v>
      </c>
      <c r="D41" s="126"/>
      <c r="E41" s="125" t="s">
        <v>379</v>
      </c>
      <c r="F41" s="132">
        <v>8.0000000000000002E-3</v>
      </c>
      <c r="G41" s="254" t="s">
        <v>481</v>
      </c>
      <c r="H41" s="253">
        <v>0</v>
      </c>
      <c r="I41" s="320" t="s">
        <v>481</v>
      </c>
      <c r="J41" s="253">
        <v>0</v>
      </c>
      <c r="K41" s="320" t="s">
        <v>481</v>
      </c>
      <c r="L41" s="348">
        <v>0</v>
      </c>
      <c r="M41" s="161"/>
      <c r="N41" s="19">
        <v>85</v>
      </c>
      <c r="O41" s="127" t="s">
        <v>401</v>
      </c>
      <c r="P41" s="126"/>
      <c r="Q41" s="125" t="s">
        <v>330</v>
      </c>
      <c r="R41" s="124">
        <v>0.03</v>
      </c>
      <c r="S41" s="254" t="s">
        <v>304</v>
      </c>
      <c r="T41" s="253">
        <v>0</v>
      </c>
      <c r="U41" s="320" t="s">
        <v>304</v>
      </c>
      <c r="V41" s="325">
        <v>0</v>
      </c>
      <c r="W41" s="320" t="s">
        <v>304</v>
      </c>
      <c r="X41" s="348">
        <v>0</v>
      </c>
    </row>
    <row r="42" spans="2:24" ht="30" customHeight="1" x14ac:dyDescent="0.15">
      <c r="B42" s="13">
        <v>28</v>
      </c>
      <c r="C42" s="127" t="s">
        <v>402</v>
      </c>
      <c r="D42" s="126"/>
      <c r="E42" s="135" t="s">
        <v>342</v>
      </c>
      <c r="F42" s="132">
        <v>0.08</v>
      </c>
      <c r="G42" s="254" t="s">
        <v>482</v>
      </c>
      <c r="H42" s="253">
        <v>0</v>
      </c>
      <c r="I42" s="320" t="s">
        <v>479</v>
      </c>
      <c r="J42" s="253">
        <v>0</v>
      </c>
      <c r="K42" s="320" t="s">
        <v>479</v>
      </c>
      <c r="L42" s="348">
        <v>0</v>
      </c>
      <c r="M42" s="2"/>
      <c r="N42" s="19">
        <v>86</v>
      </c>
      <c r="O42" s="127" t="s">
        <v>399</v>
      </c>
      <c r="P42" s="126"/>
      <c r="Q42" s="125" t="s">
        <v>330</v>
      </c>
      <c r="R42" s="124">
        <v>0.02</v>
      </c>
      <c r="S42" s="254" t="s">
        <v>311</v>
      </c>
      <c r="T42" s="253">
        <v>0</v>
      </c>
      <c r="U42" s="320" t="s">
        <v>311</v>
      </c>
      <c r="V42" s="325">
        <v>0</v>
      </c>
      <c r="W42" s="320" t="s">
        <v>311</v>
      </c>
      <c r="X42" s="348">
        <v>0</v>
      </c>
    </row>
    <row r="43" spans="2:24" ht="15" customHeight="1" x14ac:dyDescent="0.15">
      <c r="B43" s="13">
        <v>29</v>
      </c>
      <c r="C43" s="127" t="s">
        <v>400</v>
      </c>
      <c r="D43" s="126"/>
      <c r="E43" s="125" t="s">
        <v>338</v>
      </c>
      <c r="F43" s="132">
        <v>0.02</v>
      </c>
      <c r="G43" s="254" t="s">
        <v>311</v>
      </c>
      <c r="H43" s="253">
        <v>0</v>
      </c>
      <c r="I43" s="320" t="s">
        <v>311</v>
      </c>
      <c r="J43" s="253">
        <v>0</v>
      </c>
      <c r="K43" s="320" t="s">
        <v>311</v>
      </c>
      <c r="L43" s="348">
        <v>0</v>
      </c>
      <c r="M43" s="2"/>
      <c r="N43" s="19">
        <v>87</v>
      </c>
      <c r="O43" s="127" t="s">
        <v>396</v>
      </c>
      <c r="P43" s="126"/>
      <c r="Q43" s="125" t="s">
        <v>332</v>
      </c>
      <c r="R43" s="124">
        <v>0.02</v>
      </c>
      <c r="S43" s="254" t="s">
        <v>311</v>
      </c>
      <c r="T43" s="253">
        <v>0</v>
      </c>
      <c r="U43" s="320" t="s">
        <v>311</v>
      </c>
      <c r="V43" s="325">
        <v>0</v>
      </c>
      <c r="W43" s="320" t="s">
        <v>311</v>
      </c>
      <c r="X43" s="348">
        <v>0</v>
      </c>
    </row>
    <row r="44" spans="2:24" ht="15" customHeight="1" x14ac:dyDescent="0.15">
      <c r="B44" s="13">
        <v>30</v>
      </c>
      <c r="C44" s="127" t="s">
        <v>398</v>
      </c>
      <c r="D44" s="126"/>
      <c r="E44" s="135" t="s">
        <v>397</v>
      </c>
      <c r="F44" s="132">
        <v>2.9999999999999997E-4</v>
      </c>
      <c r="G44" s="254" t="s">
        <v>494</v>
      </c>
      <c r="H44" s="253">
        <v>0</v>
      </c>
      <c r="I44" s="320" t="s">
        <v>539</v>
      </c>
      <c r="J44" s="253">
        <v>0</v>
      </c>
      <c r="K44" s="320" t="s">
        <v>539</v>
      </c>
      <c r="L44" s="348">
        <v>0</v>
      </c>
      <c r="M44" s="2"/>
      <c r="N44" s="19">
        <v>88</v>
      </c>
      <c r="O44" s="127" t="s">
        <v>394</v>
      </c>
      <c r="P44" s="126"/>
      <c r="Q44" s="125" t="s">
        <v>377</v>
      </c>
      <c r="R44" s="124">
        <v>0.03</v>
      </c>
      <c r="S44" s="254" t="s">
        <v>304</v>
      </c>
      <c r="T44" s="253">
        <v>0</v>
      </c>
      <c r="U44" s="320" t="s">
        <v>304</v>
      </c>
      <c r="V44" s="325">
        <v>0</v>
      </c>
      <c r="W44" s="320" t="s">
        <v>304</v>
      </c>
      <c r="X44" s="348">
        <v>0</v>
      </c>
    </row>
    <row r="45" spans="2:24" ht="15" customHeight="1" x14ac:dyDescent="0.15">
      <c r="B45" s="13">
        <v>31</v>
      </c>
      <c r="C45" s="127" t="s">
        <v>395</v>
      </c>
      <c r="D45" s="126"/>
      <c r="E45" s="125" t="s">
        <v>330</v>
      </c>
      <c r="F45" s="132">
        <v>5.0000000000000001E-3</v>
      </c>
      <c r="G45" s="254" t="s">
        <v>305</v>
      </c>
      <c r="H45" s="253">
        <v>0</v>
      </c>
      <c r="I45" s="320" t="s">
        <v>305</v>
      </c>
      <c r="J45" s="253">
        <v>0</v>
      </c>
      <c r="K45" s="320" t="s">
        <v>305</v>
      </c>
      <c r="L45" s="348">
        <v>0</v>
      </c>
      <c r="M45" s="2"/>
      <c r="N45" s="19">
        <v>89</v>
      </c>
      <c r="O45" s="127" t="s">
        <v>392</v>
      </c>
      <c r="P45" s="126"/>
      <c r="Q45" s="125" t="s">
        <v>330</v>
      </c>
      <c r="R45" s="124">
        <v>0.05</v>
      </c>
      <c r="S45" s="254" t="s">
        <v>316</v>
      </c>
      <c r="T45" s="253">
        <v>0</v>
      </c>
      <c r="U45" s="320" t="s">
        <v>316</v>
      </c>
      <c r="V45" s="325">
        <v>0</v>
      </c>
      <c r="W45" s="320" t="s">
        <v>316</v>
      </c>
      <c r="X45" s="348">
        <v>0</v>
      </c>
    </row>
    <row r="46" spans="2:24" ht="15" customHeight="1" x14ac:dyDescent="0.15">
      <c r="B46" s="13">
        <v>32</v>
      </c>
      <c r="C46" s="127" t="s">
        <v>393</v>
      </c>
      <c r="D46" s="126"/>
      <c r="E46" s="125" t="s">
        <v>377</v>
      </c>
      <c r="F46" s="132">
        <v>0.3</v>
      </c>
      <c r="G46" s="254" t="s">
        <v>323</v>
      </c>
      <c r="H46" s="253">
        <v>0</v>
      </c>
      <c r="I46" s="320" t="s">
        <v>323</v>
      </c>
      <c r="J46" s="253">
        <v>0</v>
      </c>
      <c r="K46" s="320" t="s">
        <v>323</v>
      </c>
      <c r="L46" s="348">
        <v>0</v>
      </c>
      <c r="M46" s="2"/>
      <c r="N46" s="19">
        <v>90</v>
      </c>
      <c r="O46" s="127" t="s">
        <v>390</v>
      </c>
      <c r="P46" s="126"/>
      <c r="Q46" s="125" t="s">
        <v>377</v>
      </c>
      <c r="R46" s="124">
        <v>0.09</v>
      </c>
      <c r="S46" s="254" t="s">
        <v>477</v>
      </c>
      <c r="T46" s="253">
        <v>0</v>
      </c>
      <c r="U46" s="320" t="s">
        <v>477</v>
      </c>
      <c r="V46" s="325">
        <v>0</v>
      </c>
      <c r="W46" s="320" t="s">
        <v>477</v>
      </c>
      <c r="X46" s="348">
        <v>0</v>
      </c>
    </row>
    <row r="47" spans="2:24" ht="15" customHeight="1" x14ac:dyDescent="0.15">
      <c r="B47" s="13">
        <v>33</v>
      </c>
      <c r="C47" s="127" t="s">
        <v>391</v>
      </c>
      <c r="D47" s="126"/>
      <c r="E47" s="125" t="s">
        <v>330</v>
      </c>
      <c r="F47" s="132">
        <v>0.03</v>
      </c>
      <c r="G47" s="254" t="s">
        <v>304</v>
      </c>
      <c r="H47" s="253">
        <v>0</v>
      </c>
      <c r="I47" s="320" t="s">
        <v>304</v>
      </c>
      <c r="J47" s="253">
        <v>0</v>
      </c>
      <c r="K47" s="320" t="s">
        <v>304</v>
      </c>
      <c r="L47" s="348">
        <v>0</v>
      </c>
      <c r="M47" s="2"/>
      <c r="N47" s="19">
        <v>91</v>
      </c>
      <c r="O47" s="127" t="s">
        <v>388</v>
      </c>
      <c r="P47" s="126"/>
      <c r="Q47" s="125" t="s">
        <v>338</v>
      </c>
      <c r="R47" s="124">
        <v>7.0000000000000001E-3</v>
      </c>
      <c r="S47" s="254" t="s">
        <v>490</v>
      </c>
      <c r="T47" s="253">
        <v>0</v>
      </c>
      <c r="U47" s="320" t="s">
        <v>489</v>
      </c>
      <c r="V47" s="325">
        <v>0</v>
      </c>
      <c r="W47" s="320" t="s">
        <v>489</v>
      </c>
      <c r="X47" s="348">
        <v>0</v>
      </c>
    </row>
    <row r="48" spans="2:24" ht="15" customHeight="1" x14ac:dyDescent="0.15">
      <c r="B48" s="13">
        <v>34</v>
      </c>
      <c r="C48" s="127" t="s">
        <v>389</v>
      </c>
      <c r="D48" s="126"/>
      <c r="E48" s="125" t="s">
        <v>330</v>
      </c>
      <c r="F48" s="132">
        <v>2</v>
      </c>
      <c r="G48" s="254" t="s">
        <v>483</v>
      </c>
      <c r="H48" s="253">
        <v>0</v>
      </c>
      <c r="I48" s="320" t="s">
        <v>314</v>
      </c>
      <c r="J48" s="253">
        <v>0</v>
      </c>
      <c r="K48" s="320" t="s">
        <v>314</v>
      </c>
      <c r="L48" s="348">
        <v>0</v>
      </c>
      <c r="M48" s="2"/>
      <c r="N48" s="19">
        <v>92</v>
      </c>
      <c r="O48" s="127" t="s">
        <v>386</v>
      </c>
      <c r="P48" s="126"/>
      <c r="Q48" s="125" t="s">
        <v>377</v>
      </c>
      <c r="R48" s="124">
        <v>0.05</v>
      </c>
      <c r="S48" s="254" t="s">
        <v>316</v>
      </c>
      <c r="T48" s="253">
        <v>0</v>
      </c>
      <c r="U48" s="320" t="s">
        <v>316</v>
      </c>
      <c r="V48" s="325">
        <v>0</v>
      </c>
      <c r="W48" s="320" t="s">
        <v>316</v>
      </c>
      <c r="X48" s="348">
        <v>0</v>
      </c>
    </row>
    <row r="49" spans="2:24" ht="30" customHeight="1" x14ac:dyDescent="0.15">
      <c r="B49" s="13">
        <v>35</v>
      </c>
      <c r="C49" s="127" t="s">
        <v>387</v>
      </c>
      <c r="D49" s="126"/>
      <c r="E49" s="135" t="s">
        <v>366</v>
      </c>
      <c r="F49" s="132">
        <v>0.02</v>
      </c>
      <c r="G49" s="254" t="s">
        <v>311</v>
      </c>
      <c r="H49" s="253">
        <v>0</v>
      </c>
      <c r="I49" s="320" t="s">
        <v>311</v>
      </c>
      <c r="J49" s="253">
        <v>0</v>
      </c>
      <c r="K49" s="320" t="s">
        <v>311</v>
      </c>
      <c r="L49" s="348">
        <v>0</v>
      </c>
      <c r="M49" s="2"/>
      <c r="N49" s="19">
        <v>93</v>
      </c>
      <c r="O49" s="127" t="s">
        <v>384</v>
      </c>
      <c r="P49" s="126"/>
      <c r="Q49" s="125" t="s">
        <v>330</v>
      </c>
      <c r="R49" s="124">
        <v>0.05</v>
      </c>
      <c r="S49" s="254" t="s">
        <v>316</v>
      </c>
      <c r="T49" s="253">
        <v>0</v>
      </c>
      <c r="U49" s="320" t="s">
        <v>316</v>
      </c>
      <c r="V49" s="325">
        <v>0</v>
      </c>
      <c r="W49" s="320" t="s">
        <v>316</v>
      </c>
      <c r="X49" s="348">
        <v>0</v>
      </c>
    </row>
    <row r="50" spans="2:24" ht="15" customHeight="1" x14ac:dyDescent="0.15">
      <c r="B50" s="13">
        <v>36</v>
      </c>
      <c r="C50" s="127" t="s">
        <v>385</v>
      </c>
      <c r="D50" s="126"/>
      <c r="E50" s="125" t="s">
        <v>330</v>
      </c>
      <c r="F50" s="132">
        <v>0.02</v>
      </c>
      <c r="G50" s="254" t="s">
        <v>311</v>
      </c>
      <c r="H50" s="253">
        <v>0</v>
      </c>
      <c r="I50" s="320" t="s">
        <v>311</v>
      </c>
      <c r="J50" s="253">
        <v>0</v>
      </c>
      <c r="K50" s="320" t="s">
        <v>311</v>
      </c>
      <c r="L50" s="348">
        <v>0</v>
      </c>
      <c r="M50" s="2"/>
      <c r="N50" s="19">
        <v>94</v>
      </c>
      <c r="O50" s="127" t="s">
        <v>382</v>
      </c>
      <c r="P50" s="126"/>
      <c r="Q50" s="125" t="s">
        <v>332</v>
      </c>
      <c r="R50" s="124">
        <v>0.03</v>
      </c>
      <c r="S50" s="254" t="s">
        <v>304</v>
      </c>
      <c r="T50" s="253">
        <v>0</v>
      </c>
      <c r="U50" s="320" t="s">
        <v>304</v>
      </c>
      <c r="V50" s="325">
        <v>0</v>
      </c>
      <c r="W50" s="320" t="s">
        <v>304</v>
      </c>
      <c r="X50" s="348">
        <v>0</v>
      </c>
    </row>
    <row r="51" spans="2:24" ht="21.75" customHeight="1" x14ac:dyDescent="0.15">
      <c r="B51" s="13">
        <v>37</v>
      </c>
      <c r="C51" s="127" t="s">
        <v>383</v>
      </c>
      <c r="D51" s="126"/>
      <c r="E51" s="125" t="s">
        <v>330</v>
      </c>
      <c r="F51" s="132">
        <v>1E-4</v>
      </c>
      <c r="G51" s="254" t="s">
        <v>315</v>
      </c>
      <c r="H51" s="253">
        <v>0</v>
      </c>
      <c r="I51" s="320" t="s">
        <v>315</v>
      </c>
      <c r="J51" s="253">
        <v>0</v>
      </c>
      <c r="K51" s="320" t="s">
        <v>315</v>
      </c>
      <c r="L51" s="348">
        <v>0</v>
      </c>
      <c r="M51" s="2"/>
      <c r="N51" s="19">
        <v>95</v>
      </c>
      <c r="O51" s="127" t="s">
        <v>380</v>
      </c>
      <c r="P51" s="126"/>
      <c r="Q51" s="125" t="s">
        <v>379</v>
      </c>
      <c r="R51" s="124">
        <v>0.1</v>
      </c>
      <c r="S51" s="254" t="s">
        <v>306</v>
      </c>
      <c r="T51" s="253">
        <v>0</v>
      </c>
      <c r="U51" s="320" t="s">
        <v>306</v>
      </c>
      <c r="V51" s="325">
        <v>0</v>
      </c>
      <c r="W51" s="320" t="s">
        <v>306</v>
      </c>
      <c r="X51" s="348">
        <v>0</v>
      </c>
    </row>
    <row r="52" spans="2:24" ht="15" customHeight="1" x14ac:dyDescent="0.15">
      <c r="B52" s="13">
        <v>38</v>
      </c>
      <c r="C52" s="127" t="s">
        <v>381</v>
      </c>
      <c r="D52" s="126"/>
      <c r="E52" s="135" t="s">
        <v>338</v>
      </c>
      <c r="F52" s="132">
        <v>3.0000000000000001E-3</v>
      </c>
      <c r="G52" s="254" t="s">
        <v>475</v>
      </c>
      <c r="H52" s="253">
        <v>0</v>
      </c>
      <c r="I52" s="320" t="s">
        <v>475</v>
      </c>
      <c r="J52" s="253">
        <v>0</v>
      </c>
      <c r="K52" s="320" t="s">
        <v>475</v>
      </c>
      <c r="L52" s="348">
        <v>0</v>
      </c>
      <c r="M52" s="2"/>
      <c r="N52" s="19">
        <v>96</v>
      </c>
      <c r="O52" s="127" t="s">
        <v>378</v>
      </c>
      <c r="P52" s="126"/>
      <c r="Q52" s="125" t="s">
        <v>377</v>
      </c>
      <c r="R52" s="124">
        <v>0.02</v>
      </c>
      <c r="S52" s="254" t="s">
        <v>311</v>
      </c>
      <c r="T52" s="253">
        <v>0</v>
      </c>
      <c r="U52" s="320" t="s">
        <v>311</v>
      </c>
      <c r="V52" s="325">
        <v>0</v>
      </c>
      <c r="W52" s="320" t="s">
        <v>311</v>
      </c>
      <c r="X52" s="348">
        <v>0</v>
      </c>
    </row>
    <row r="53" spans="2:24" ht="15" customHeight="1" x14ac:dyDescent="0.15">
      <c r="B53" s="13">
        <v>39</v>
      </c>
      <c r="C53" s="127" t="s">
        <v>465</v>
      </c>
      <c r="D53" s="126"/>
      <c r="E53" s="125" t="s">
        <v>332</v>
      </c>
      <c r="F53" s="132">
        <v>0.05</v>
      </c>
      <c r="G53" s="254" t="s">
        <v>316</v>
      </c>
      <c r="H53" s="253">
        <v>0</v>
      </c>
      <c r="I53" s="320" t="s">
        <v>316</v>
      </c>
      <c r="J53" s="253">
        <v>0</v>
      </c>
      <c r="K53" s="320" t="s">
        <v>316</v>
      </c>
      <c r="L53" s="348">
        <v>0</v>
      </c>
      <c r="M53" s="2"/>
      <c r="N53" s="19">
        <v>97</v>
      </c>
      <c r="O53" s="127" t="s">
        <v>375</v>
      </c>
      <c r="P53" s="126"/>
      <c r="Q53" s="125" t="s">
        <v>332</v>
      </c>
      <c r="R53" s="124">
        <v>0.1</v>
      </c>
      <c r="S53" s="254" t="s">
        <v>306</v>
      </c>
      <c r="T53" s="253">
        <v>0</v>
      </c>
      <c r="U53" s="320" t="s">
        <v>306</v>
      </c>
      <c r="V53" s="325">
        <v>0</v>
      </c>
      <c r="W53" s="320" t="s">
        <v>306</v>
      </c>
      <c r="X53" s="348">
        <v>0</v>
      </c>
    </row>
    <row r="54" spans="2:24" ht="15" customHeight="1" x14ac:dyDescent="0.15">
      <c r="B54" s="13">
        <v>40</v>
      </c>
      <c r="C54" s="127" t="s">
        <v>376</v>
      </c>
      <c r="D54" s="126"/>
      <c r="E54" s="125" t="s">
        <v>330</v>
      </c>
      <c r="F54" s="132">
        <v>1E-3</v>
      </c>
      <c r="G54" s="254" t="s">
        <v>476</v>
      </c>
      <c r="H54" s="253">
        <v>0</v>
      </c>
      <c r="I54" s="320" t="s">
        <v>476</v>
      </c>
      <c r="J54" s="253">
        <v>0</v>
      </c>
      <c r="K54" s="320" t="s">
        <v>476</v>
      </c>
      <c r="L54" s="348">
        <v>0</v>
      </c>
      <c r="M54" s="2"/>
      <c r="N54" s="19">
        <v>98</v>
      </c>
      <c r="O54" s="127" t="s">
        <v>373</v>
      </c>
      <c r="P54" s="126"/>
      <c r="Q54" s="125" t="s">
        <v>330</v>
      </c>
      <c r="R54" s="124">
        <v>0.09</v>
      </c>
      <c r="S54" s="254" t="s">
        <v>477</v>
      </c>
      <c r="T54" s="253">
        <v>0</v>
      </c>
      <c r="U54" s="320" t="s">
        <v>477</v>
      </c>
      <c r="V54" s="325">
        <v>0</v>
      </c>
      <c r="W54" s="320" t="s">
        <v>477</v>
      </c>
      <c r="X54" s="348">
        <v>0</v>
      </c>
    </row>
    <row r="55" spans="2:24" ht="15" customHeight="1" x14ac:dyDescent="0.15">
      <c r="B55" s="13">
        <v>41</v>
      </c>
      <c r="C55" s="127" t="s">
        <v>374</v>
      </c>
      <c r="D55" s="126"/>
      <c r="E55" s="125" t="s">
        <v>338</v>
      </c>
      <c r="F55" s="132">
        <v>3.0000000000000001E-3</v>
      </c>
      <c r="G55" s="254" t="s">
        <v>475</v>
      </c>
      <c r="H55" s="253">
        <v>0</v>
      </c>
      <c r="I55" s="320" t="s">
        <v>475</v>
      </c>
      <c r="J55" s="253">
        <v>0</v>
      </c>
      <c r="K55" s="320" t="s">
        <v>475</v>
      </c>
      <c r="L55" s="348">
        <v>0</v>
      </c>
      <c r="M55" s="2"/>
      <c r="N55" s="19">
        <v>99</v>
      </c>
      <c r="O55" s="127" t="s">
        <v>371</v>
      </c>
      <c r="P55" s="126"/>
      <c r="Q55" s="125" t="s">
        <v>330</v>
      </c>
      <c r="R55" s="124">
        <v>5.0000000000000001E-3</v>
      </c>
      <c r="S55" s="254" t="s">
        <v>305</v>
      </c>
      <c r="T55" s="253">
        <v>0</v>
      </c>
      <c r="U55" s="320" t="s">
        <v>305</v>
      </c>
      <c r="V55" s="325">
        <v>0</v>
      </c>
      <c r="W55" s="320" t="s">
        <v>305</v>
      </c>
      <c r="X55" s="348">
        <v>0</v>
      </c>
    </row>
    <row r="56" spans="2:24" ht="15" customHeight="1" x14ac:dyDescent="0.15">
      <c r="B56" s="13">
        <v>42</v>
      </c>
      <c r="C56" s="127" t="s">
        <v>372</v>
      </c>
      <c r="D56" s="126"/>
      <c r="E56" s="125" t="s">
        <v>330</v>
      </c>
      <c r="F56" s="132">
        <v>0.02</v>
      </c>
      <c r="G56" s="254" t="s">
        <v>311</v>
      </c>
      <c r="H56" s="253">
        <v>0</v>
      </c>
      <c r="I56" s="320" t="s">
        <v>311</v>
      </c>
      <c r="J56" s="253">
        <v>0</v>
      </c>
      <c r="K56" s="320" t="s">
        <v>311</v>
      </c>
      <c r="L56" s="348">
        <v>0</v>
      </c>
      <c r="M56" s="2"/>
      <c r="N56" s="19">
        <v>100</v>
      </c>
      <c r="O56" s="127" t="s">
        <v>369</v>
      </c>
      <c r="P56" s="126"/>
      <c r="Q56" s="125" t="s">
        <v>330</v>
      </c>
      <c r="R56" s="124">
        <v>0.2</v>
      </c>
      <c r="S56" s="254" t="s">
        <v>307</v>
      </c>
      <c r="T56" s="253">
        <v>0</v>
      </c>
      <c r="U56" s="320" t="s">
        <v>307</v>
      </c>
      <c r="V56" s="325">
        <v>0</v>
      </c>
      <c r="W56" s="320" t="s">
        <v>307</v>
      </c>
      <c r="X56" s="348">
        <v>0</v>
      </c>
    </row>
    <row r="57" spans="2:24" ht="26.25" customHeight="1" x14ac:dyDescent="0.15">
      <c r="B57" s="13">
        <v>43</v>
      </c>
      <c r="C57" s="127" t="s">
        <v>370</v>
      </c>
      <c r="D57" s="126"/>
      <c r="E57" s="125" t="s">
        <v>330</v>
      </c>
      <c r="F57" s="132">
        <v>0.03</v>
      </c>
      <c r="G57" s="254" t="s">
        <v>304</v>
      </c>
      <c r="H57" s="253">
        <v>0</v>
      </c>
      <c r="I57" s="320" t="s">
        <v>304</v>
      </c>
      <c r="J57" s="253">
        <v>0</v>
      </c>
      <c r="K57" s="320" t="s">
        <v>304</v>
      </c>
      <c r="L57" s="348">
        <v>0</v>
      </c>
      <c r="M57" s="2"/>
      <c r="N57" s="19">
        <v>101</v>
      </c>
      <c r="O57" s="127" t="s">
        <v>367</v>
      </c>
      <c r="P57" s="126"/>
      <c r="Q57" s="135" t="s">
        <v>366</v>
      </c>
      <c r="R57" s="124">
        <v>0.3</v>
      </c>
      <c r="S57" s="254" t="s">
        <v>323</v>
      </c>
      <c r="T57" s="253">
        <v>0</v>
      </c>
      <c r="U57" s="320" t="s">
        <v>323</v>
      </c>
      <c r="V57" s="325">
        <v>0</v>
      </c>
      <c r="W57" s="320" t="s">
        <v>323</v>
      </c>
      <c r="X57" s="348">
        <v>0</v>
      </c>
    </row>
    <row r="58" spans="2:24" ht="15" customHeight="1" x14ac:dyDescent="0.15">
      <c r="B58" s="13">
        <v>44</v>
      </c>
      <c r="C58" s="127" t="s">
        <v>368</v>
      </c>
      <c r="D58" s="126"/>
      <c r="E58" s="125" t="s">
        <v>338</v>
      </c>
      <c r="F58" s="132">
        <v>8.0000000000000002E-3</v>
      </c>
      <c r="G58" s="254" t="s">
        <v>481</v>
      </c>
      <c r="H58" s="253">
        <v>0</v>
      </c>
      <c r="I58" s="320" t="s">
        <v>481</v>
      </c>
      <c r="J58" s="253">
        <v>0</v>
      </c>
      <c r="K58" s="320" t="s">
        <v>481</v>
      </c>
      <c r="L58" s="348">
        <v>0</v>
      </c>
      <c r="M58" s="2"/>
      <c r="N58" s="19">
        <v>102</v>
      </c>
      <c r="O58" s="127" t="s">
        <v>364</v>
      </c>
      <c r="P58" s="126"/>
      <c r="Q58" s="125" t="s">
        <v>332</v>
      </c>
      <c r="R58" s="124">
        <v>0.02</v>
      </c>
      <c r="S58" s="254" t="s">
        <v>493</v>
      </c>
      <c r="T58" s="253">
        <v>0</v>
      </c>
      <c r="U58" s="320" t="s">
        <v>311</v>
      </c>
      <c r="V58" s="325">
        <v>0</v>
      </c>
      <c r="W58" s="320" t="s">
        <v>311</v>
      </c>
      <c r="X58" s="348">
        <v>0</v>
      </c>
    </row>
    <row r="59" spans="2:24" ht="15" customHeight="1" x14ac:dyDescent="0.15">
      <c r="B59" s="13">
        <v>45</v>
      </c>
      <c r="C59" s="127" t="s">
        <v>365</v>
      </c>
      <c r="D59" s="126"/>
      <c r="E59" s="125" t="s">
        <v>330</v>
      </c>
      <c r="F59" s="132">
        <v>0.01</v>
      </c>
      <c r="G59" s="254" t="s">
        <v>484</v>
      </c>
      <c r="H59" s="253">
        <v>0</v>
      </c>
      <c r="I59" s="320" t="s">
        <v>474</v>
      </c>
      <c r="J59" s="253">
        <v>0</v>
      </c>
      <c r="K59" s="320" t="s">
        <v>474</v>
      </c>
      <c r="L59" s="348">
        <v>0</v>
      </c>
      <c r="M59" s="2"/>
      <c r="N59" s="19">
        <v>103</v>
      </c>
      <c r="O59" s="127" t="s">
        <v>362</v>
      </c>
      <c r="P59" s="126"/>
      <c r="Q59" s="125" t="s">
        <v>330</v>
      </c>
      <c r="R59" s="124">
        <v>0.01</v>
      </c>
      <c r="S59" s="254" t="s">
        <v>474</v>
      </c>
      <c r="T59" s="253">
        <v>0</v>
      </c>
      <c r="U59" s="320" t="s">
        <v>474</v>
      </c>
      <c r="V59" s="325">
        <v>0</v>
      </c>
      <c r="W59" s="320" t="s">
        <v>474</v>
      </c>
      <c r="X59" s="348">
        <v>0</v>
      </c>
    </row>
    <row r="60" spans="2:24" ht="15" customHeight="1" x14ac:dyDescent="0.15">
      <c r="B60" s="13">
        <v>46</v>
      </c>
      <c r="C60" s="127" t="s">
        <v>363</v>
      </c>
      <c r="D60" s="126"/>
      <c r="E60" s="125" t="s">
        <v>350</v>
      </c>
      <c r="F60" s="132">
        <v>4.0000000000000001E-3</v>
      </c>
      <c r="G60" s="254" t="s">
        <v>471</v>
      </c>
      <c r="H60" s="253">
        <v>0</v>
      </c>
      <c r="I60" s="320" t="s">
        <v>471</v>
      </c>
      <c r="J60" s="253">
        <v>0</v>
      </c>
      <c r="K60" s="320" t="s">
        <v>471</v>
      </c>
      <c r="L60" s="348">
        <v>0</v>
      </c>
      <c r="M60" s="2"/>
      <c r="N60" s="19">
        <v>104</v>
      </c>
      <c r="O60" s="127" t="s">
        <v>359</v>
      </c>
      <c r="P60" s="126"/>
      <c r="Q60" s="125" t="s">
        <v>330</v>
      </c>
      <c r="R60" s="124">
        <v>7.0000000000000007E-2</v>
      </c>
      <c r="S60" s="254" t="s">
        <v>491</v>
      </c>
      <c r="T60" s="253">
        <v>0</v>
      </c>
      <c r="U60" s="320" t="s">
        <v>491</v>
      </c>
      <c r="V60" s="325">
        <v>0</v>
      </c>
      <c r="W60" s="320" t="s">
        <v>491</v>
      </c>
      <c r="X60" s="348">
        <v>0</v>
      </c>
    </row>
    <row r="61" spans="2:24" ht="30" customHeight="1" x14ac:dyDescent="0.15">
      <c r="B61" s="13">
        <v>47</v>
      </c>
      <c r="C61" s="127" t="s">
        <v>361</v>
      </c>
      <c r="D61" s="126"/>
      <c r="E61" s="125" t="s">
        <v>360</v>
      </c>
      <c r="F61" s="156" t="s">
        <v>507</v>
      </c>
      <c r="G61" s="254" t="s">
        <v>316</v>
      </c>
      <c r="H61" s="253">
        <v>0</v>
      </c>
      <c r="I61" s="320" t="s">
        <v>316</v>
      </c>
      <c r="J61" s="253">
        <v>0</v>
      </c>
      <c r="K61" s="320" t="s">
        <v>316</v>
      </c>
      <c r="L61" s="348">
        <v>0</v>
      </c>
      <c r="M61" s="2"/>
      <c r="N61" s="19">
        <v>105</v>
      </c>
      <c r="O61" s="127" t="s">
        <v>357</v>
      </c>
      <c r="P61" s="126"/>
      <c r="Q61" s="125" t="s">
        <v>346</v>
      </c>
      <c r="R61" s="124">
        <v>5.0000000000000001E-3</v>
      </c>
      <c r="S61" s="254" t="s">
        <v>523</v>
      </c>
      <c r="T61" s="253">
        <v>0</v>
      </c>
      <c r="U61" s="320" t="s">
        <v>305</v>
      </c>
      <c r="V61" s="326">
        <v>0</v>
      </c>
      <c r="W61" s="320" t="s">
        <v>305</v>
      </c>
      <c r="X61" s="349">
        <v>0</v>
      </c>
    </row>
    <row r="62" spans="2:24" ht="15" customHeight="1" x14ac:dyDescent="0.15">
      <c r="B62" s="13">
        <v>48</v>
      </c>
      <c r="C62" s="127" t="s">
        <v>358</v>
      </c>
      <c r="D62" s="126"/>
      <c r="E62" s="125" t="s">
        <v>340</v>
      </c>
      <c r="F62" s="132">
        <v>8.9999999999999993E-3</v>
      </c>
      <c r="G62" s="254" t="s">
        <v>478</v>
      </c>
      <c r="H62" s="253">
        <v>0</v>
      </c>
      <c r="I62" s="320" t="s">
        <v>478</v>
      </c>
      <c r="J62" s="253">
        <v>0</v>
      </c>
      <c r="K62" s="320" t="s">
        <v>478</v>
      </c>
      <c r="L62" s="348">
        <v>0</v>
      </c>
      <c r="M62" s="2"/>
      <c r="N62" s="19">
        <v>106</v>
      </c>
      <c r="O62" s="127" t="s">
        <v>355</v>
      </c>
      <c r="P62" s="126"/>
      <c r="Q62" s="125" t="s">
        <v>346</v>
      </c>
      <c r="R62" s="124">
        <v>0.7</v>
      </c>
      <c r="S62" s="254" t="s">
        <v>492</v>
      </c>
      <c r="T62" s="253">
        <v>0</v>
      </c>
      <c r="U62" s="320" t="s">
        <v>492</v>
      </c>
      <c r="V62" s="325">
        <v>0</v>
      </c>
      <c r="W62" s="320" t="s">
        <v>492</v>
      </c>
      <c r="X62" s="348">
        <v>0</v>
      </c>
    </row>
    <row r="63" spans="2:24" ht="15" customHeight="1" x14ac:dyDescent="0.15">
      <c r="B63" s="13">
        <v>49</v>
      </c>
      <c r="C63" s="127" t="s">
        <v>356</v>
      </c>
      <c r="D63" s="126"/>
      <c r="E63" s="125" t="s">
        <v>340</v>
      </c>
      <c r="F63" s="132">
        <v>6.0000000000000001E-3</v>
      </c>
      <c r="G63" s="254" t="s">
        <v>473</v>
      </c>
      <c r="H63" s="253">
        <v>0</v>
      </c>
      <c r="I63" s="320" t="s">
        <v>473</v>
      </c>
      <c r="J63" s="253">
        <v>0</v>
      </c>
      <c r="K63" s="320" t="s">
        <v>473</v>
      </c>
      <c r="L63" s="348">
        <v>0</v>
      </c>
      <c r="M63" s="2"/>
      <c r="N63" s="19">
        <v>107</v>
      </c>
      <c r="O63" s="127" t="s">
        <v>464</v>
      </c>
      <c r="P63" s="126"/>
      <c r="Q63" s="125" t="s">
        <v>340</v>
      </c>
      <c r="R63" s="124">
        <v>0.05</v>
      </c>
      <c r="S63" s="254" t="s">
        <v>316</v>
      </c>
      <c r="T63" s="253">
        <v>0</v>
      </c>
      <c r="U63" s="320" t="s">
        <v>316</v>
      </c>
      <c r="V63" s="325">
        <v>0</v>
      </c>
      <c r="W63" s="320" t="s">
        <v>316</v>
      </c>
      <c r="X63" s="348">
        <v>0</v>
      </c>
    </row>
    <row r="64" spans="2:24" ht="15" customHeight="1" x14ac:dyDescent="0.15">
      <c r="B64" s="13">
        <v>50</v>
      </c>
      <c r="C64" s="127" t="s">
        <v>354</v>
      </c>
      <c r="D64" s="126"/>
      <c r="E64" s="135" t="s">
        <v>340</v>
      </c>
      <c r="F64" s="132">
        <v>3.0000000000000001E-3</v>
      </c>
      <c r="G64" s="254" t="s">
        <v>475</v>
      </c>
      <c r="H64" s="253">
        <v>0</v>
      </c>
      <c r="I64" s="320" t="s">
        <v>475</v>
      </c>
      <c r="J64" s="253">
        <v>0</v>
      </c>
      <c r="K64" s="320" t="s">
        <v>475</v>
      </c>
      <c r="L64" s="349">
        <v>0</v>
      </c>
      <c r="M64" s="2"/>
      <c r="N64" s="19">
        <v>108</v>
      </c>
      <c r="O64" s="127" t="s">
        <v>352</v>
      </c>
      <c r="P64" s="126"/>
      <c r="Q64" s="125" t="s">
        <v>346</v>
      </c>
      <c r="R64" s="124">
        <v>0.03</v>
      </c>
      <c r="S64" s="254" t="s">
        <v>304</v>
      </c>
      <c r="T64" s="253">
        <v>0</v>
      </c>
      <c r="U64" s="320" t="s">
        <v>304</v>
      </c>
      <c r="V64" s="325">
        <v>0</v>
      </c>
      <c r="W64" s="320" t="s">
        <v>304</v>
      </c>
      <c r="X64" s="348">
        <v>0</v>
      </c>
    </row>
    <row r="65" spans="2:24" ht="15" customHeight="1" x14ac:dyDescent="0.15">
      <c r="B65" s="13">
        <v>51</v>
      </c>
      <c r="C65" s="127" t="s">
        <v>353</v>
      </c>
      <c r="D65" s="126"/>
      <c r="E65" s="125" t="s">
        <v>340</v>
      </c>
      <c r="F65" s="132">
        <v>0.02</v>
      </c>
      <c r="G65" s="254" t="s">
        <v>311</v>
      </c>
      <c r="H65" s="253">
        <v>0</v>
      </c>
      <c r="I65" s="320" t="s">
        <v>311</v>
      </c>
      <c r="J65" s="253">
        <v>0</v>
      </c>
      <c r="K65" s="320" t="s">
        <v>311</v>
      </c>
      <c r="L65" s="348">
        <v>0</v>
      </c>
      <c r="M65" s="2"/>
      <c r="N65" s="19">
        <v>109</v>
      </c>
      <c r="O65" s="127" t="s">
        <v>349</v>
      </c>
      <c r="P65" s="126"/>
      <c r="Q65" s="125" t="s">
        <v>332</v>
      </c>
      <c r="R65" s="124">
        <v>0.2</v>
      </c>
      <c r="S65" s="254" t="s">
        <v>307</v>
      </c>
      <c r="T65" s="253">
        <v>0</v>
      </c>
      <c r="U65" s="320" t="s">
        <v>307</v>
      </c>
      <c r="V65" s="325">
        <v>0</v>
      </c>
      <c r="W65" s="320" t="s">
        <v>307</v>
      </c>
      <c r="X65" s="348">
        <v>0</v>
      </c>
    </row>
    <row r="66" spans="2:24" ht="15" customHeight="1" x14ac:dyDescent="0.15">
      <c r="B66" s="13">
        <v>52</v>
      </c>
      <c r="C66" s="127" t="s">
        <v>351</v>
      </c>
      <c r="D66" s="126"/>
      <c r="E66" s="125" t="s">
        <v>350</v>
      </c>
      <c r="F66" s="132">
        <v>0.05</v>
      </c>
      <c r="G66" s="254" t="s">
        <v>316</v>
      </c>
      <c r="H66" s="253">
        <v>0</v>
      </c>
      <c r="I66" s="320" t="s">
        <v>316</v>
      </c>
      <c r="J66" s="253">
        <v>0</v>
      </c>
      <c r="K66" s="320" t="s">
        <v>316</v>
      </c>
      <c r="L66" s="348">
        <v>0</v>
      </c>
      <c r="M66" s="2"/>
      <c r="N66" s="19">
        <v>110</v>
      </c>
      <c r="O66" s="127" t="s">
        <v>347</v>
      </c>
      <c r="P66" s="126"/>
      <c r="Q66" s="125" t="s">
        <v>346</v>
      </c>
      <c r="R66" s="124">
        <v>4.0000000000000001E-3</v>
      </c>
      <c r="S66" s="254" t="s">
        <v>471</v>
      </c>
      <c r="T66" s="253">
        <v>0</v>
      </c>
      <c r="U66" s="320" t="s">
        <v>471</v>
      </c>
      <c r="V66" s="325">
        <v>0</v>
      </c>
      <c r="W66" s="320" t="s">
        <v>471</v>
      </c>
      <c r="X66" s="348">
        <v>0</v>
      </c>
    </row>
    <row r="67" spans="2:24" ht="15" customHeight="1" x14ac:dyDescent="0.15">
      <c r="B67" s="13">
        <v>53</v>
      </c>
      <c r="C67" s="127" t="s">
        <v>348</v>
      </c>
      <c r="D67" s="126"/>
      <c r="E67" s="125" t="s">
        <v>340</v>
      </c>
      <c r="F67" s="132">
        <v>0.03</v>
      </c>
      <c r="G67" s="254" t="s">
        <v>304</v>
      </c>
      <c r="H67" s="253">
        <v>0</v>
      </c>
      <c r="I67" s="320" t="s">
        <v>304</v>
      </c>
      <c r="J67" s="253">
        <v>0</v>
      </c>
      <c r="K67" s="320" t="s">
        <v>304</v>
      </c>
      <c r="L67" s="348">
        <v>0</v>
      </c>
      <c r="M67" s="2"/>
      <c r="N67" s="19">
        <v>111</v>
      </c>
      <c r="O67" s="127" t="s">
        <v>344</v>
      </c>
      <c r="P67" s="126"/>
      <c r="Q67" s="125" t="s">
        <v>332</v>
      </c>
      <c r="R67" s="124">
        <v>0.04</v>
      </c>
      <c r="S67" s="254" t="s">
        <v>319</v>
      </c>
      <c r="T67" s="253">
        <v>0</v>
      </c>
      <c r="U67" s="320" t="s">
        <v>319</v>
      </c>
      <c r="V67" s="325">
        <v>0</v>
      </c>
      <c r="W67" s="320" t="s">
        <v>319</v>
      </c>
      <c r="X67" s="348">
        <v>0</v>
      </c>
    </row>
    <row r="68" spans="2:24" ht="15" customHeight="1" x14ac:dyDescent="0.15">
      <c r="B68" s="13">
        <v>54</v>
      </c>
      <c r="C68" s="127" t="s">
        <v>345</v>
      </c>
      <c r="D68" s="126"/>
      <c r="E68" s="125" t="s">
        <v>332</v>
      </c>
      <c r="F68" s="132">
        <v>3.0000000000000001E-3</v>
      </c>
      <c r="G68" s="254" t="s">
        <v>475</v>
      </c>
      <c r="H68" s="253">
        <v>0</v>
      </c>
      <c r="I68" s="320" t="s">
        <v>475</v>
      </c>
      <c r="J68" s="253">
        <v>0</v>
      </c>
      <c r="K68" s="320" t="s">
        <v>475</v>
      </c>
      <c r="L68" s="348">
        <v>0</v>
      </c>
      <c r="M68" s="2"/>
      <c r="N68" s="19">
        <v>112</v>
      </c>
      <c r="O68" s="127" t="s">
        <v>341</v>
      </c>
      <c r="P68" s="126"/>
      <c r="Q68" s="125" t="s">
        <v>340</v>
      </c>
      <c r="R68" s="124">
        <v>0.03</v>
      </c>
      <c r="S68" s="254" t="s">
        <v>304</v>
      </c>
      <c r="T68" s="253">
        <v>0</v>
      </c>
      <c r="U68" s="320" t="s">
        <v>304</v>
      </c>
      <c r="V68" s="325">
        <v>0</v>
      </c>
      <c r="W68" s="320" t="s">
        <v>304</v>
      </c>
      <c r="X68" s="348">
        <v>0</v>
      </c>
    </row>
    <row r="69" spans="2:24" ht="30" customHeight="1" x14ac:dyDescent="0.15">
      <c r="B69" s="13">
        <v>55</v>
      </c>
      <c r="C69" s="127" t="s">
        <v>343</v>
      </c>
      <c r="D69" s="126"/>
      <c r="E69" s="135" t="s">
        <v>342</v>
      </c>
      <c r="F69" s="132">
        <v>0.8</v>
      </c>
      <c r="G69" s="254" t="s">
        <v>321</v>
      </c>
      <c r="H69" s="253">
        <v>0</v>
      </c>
      <c r="I69" s="320" t="s">
        <v>321</v>
      </c>
      <c r="J69" s="253">
        <v>0</v>
      </c>
      <c r="K69" s="320" t="s">
        <v>321</v>
      </c>
      <c r="L69" s="348">
        <v>0</v>
      </c>
      <c r="M69" s="2"/>
      <c r="N69" s="19">
        <v>113</v>
      </c>
      <c r="O69" s="127" t="s">
        <v>336</v>
      </c>
      <c r="P69" s="126"/>
      <c r="Q69" s="125" t="s">
        <v>330</v>
      </c>
      <c r="R69" s="124">
        <v>0.02</v>
      </c>
      <c r="S69" s="254" t="s">
        <v>311</v>
      </c>
      <c r="T69" s="253">
        <v>0</v>
      </c>
      <c r="U69" s="320" t="s">
        <v>311</v>
      </c>
      <c r="V69" s="325">
        <v>0</v>
      </c>
      <c r="W69" s="320" t="s">
        <v>311</v>
      </c>
      <c r="X69" s="348">
        <v>0</v>
      </c>
    </row>
    <row r="70" spans="2:24" ht="30" customHeight="1" x14ac:dyDescent="0.15">
      <c r="B70" s="13">
        <v>56</v>
      </c>
      <c r="C70" s="740" t="s">
        <v>339</v>
      </c>
      <c r="D70" s="741"/>
      <c r="E70" s="134" t="s">
        <v>377</v>
      </c>
      <c r="F70" s="133" t="s">
        <v>337</v>
      </c>
      <c r="G70" s="256" t="s">
        <v>474</v>
      </c>
      <c r="H70" s="257">
        <v>0</v>
      </c>
      <c r="I70" s="322" t="s">
        <v>474</v>
      </c>
      <c r="J70" s="257">
        <v>0</v>
      </c>
      <c r="K70" s="322" t="s">
        <v>474</v>
      </c>
      <c r="L70" s="348">
        <v>0</v>
      </c>
      <c r="M70" s="2"/>
      <c r="N70" s="19">
        <v>114</v>
      </c>
      <c r="O70" s="127" t="s">
        <v>334</v>
      </c>
      <c r="P70" s="126"/>
      <c r="Q70" s="125" t="s">
        <v>332</v>
      </c>
      <c r="R70" s="124">
        <v>0.1</v>
      </c>
      <c r="S70" s="254" t="s">
        <v>306</v>
      </c>
      <c r="T70" s="258">
        <v>0</v>
      </c>
      <c r="U70" s="320" t="s">
        <v>306</v>
      </c>
      <c r="V70" s="325">
        <v>0</v>
      </c>
      <c r="W70" s="320" t="s">
        <v>306</v>
      </c>
      <c r="X70" s="348">
        <v>0</v>
      </c>
    </row>
    <row r="71" spans="2:24" ht="15" customHeight="1" thickBot="1" x14ac:dyDescent="0.2">
      <c r="B71" s="13">
        <v>57</v>
      </c>
      <c r="C71" s="127" t="s">
        <v>335</v>
      </c>
      <c r="D71" s="126"/>
      <c r="E71" s="125" t="s">
        <v>332</v>
      </c>
      <c r="F71" s="132">
        <v>0.1</v>
      </c>
      <c r="G71" s="254" t="s">
        <v>306</v>
      </c>
      <c r="H71" s="258">
        <v>0</v>
      </c>
      <c r="I71" s="320" t="s">
        <v>306</v>
      </c>
      <c r="J71" s="323">
        <v>0</v>
      </c>
      <c r="K71" s="320" t="s">
        <v>306</v>
      </c>
      <c r="L71" s="348">
        <v>0</v>
      </c>
      <c r="M71" s="2"/>
      <c r="N71" s="110">
        <v>115</v>
      </c>
      <c r="O71" s="127" t="s">
        <v>331</v>
      </c>
      <c r="P71" s="126"/>
      <c r="Q71" s="125" t="s">
        <v>330</v>
      </c>
      <c r="R71" s="124">
        <v>5.0000000000000001E-3</v>
      </c>
      <c r="S71" s="254" t="s">
        <v>305</v>
      </c>
      <c r="T71" s="253">
        <v>0</v>
      </c>
      <c r="U71" s="324" t="s">
        <v>305</v>
      </c>
      <c r="V71" s="325">
        <v>0</v>
      </c>
      <c r="W71" s="324" t="s">
        <v>305</v>
      </c>
      <c r="X71" s="348">
        <v>0</v>
      </c>
    </row>
    <row r="72" spans="2:24" ht="15" customHeight="1" thickBot="1" x14ac:dyDescent="0.2">
      <c r="B72" s="110">
        <v>58</v>
      </c>
      <c r="C72" s="131" t="s">
        <v>333</v>
      </c>
      <c r="D72" s="130"/>
      <c r="E72" s="129" t="s">
        <v>332</v>
      </c>
      <c r="F72" s="128">
        <v>0.02</v>
      </c>
      <c r="G72" s="259" t="s">
        <v>311</v>
      </c>
      <c r="H72" s="260">
        <v>0</v>
      </c>
      <c r="I72" s="324" t="s">
        <v>311</v>
      </c>
      <c r="J72" s="260">
        <v>0</v>
      </c>
      <c r="K72" s="324" t="s">
        <v>311</v>
      </c>
      <c r="L72" s="350">
        <v>0</v>
      </c>
      <c r="M72" s="2"/>
      <c r="N72" s="123"/>
      <c r="O72" s="742" t="s">
        <v>329</v>
      </c>
      <c r="P72" s="743"/>
      <c r="Q72" s="122"/>
      <c r="R72" s="121">
        <v>1</v>
      </c>
      <c r="S72" s="120"/>
      <c r="T72" s="262">
        <v>0</v>
      </c>
      <c r="U72" s="327"/>
      <c r="V72" s="328">
        <v>0</v>
      </c>
      <c r="W72" s="351"/>
      <c r="X72" s="262">
        <v>0</v>
      </c>
    </row>
    <row r="73" spans="2:24" ht="15" customHeight="1" thickBot="1" x14ac:dyDescent="0.2">
      <c r="C73" s="117"/>
      <c r="E73" s="4"/>
      <c r="F73" s="4"/>
      <c r="G73" s="4"/>
      <c r="H73" s="4"/>
      <c r="I73" s="4"/>
      <c r="J73" s="4"/>
      <c r="K73" s="119"/>
      <c r="L73" s="119"/>
      <c r="M73" s="2"/>
      <c r="N73" s="733" t="s">
        <v>81</v>
      </c>
      <c r="O73" s="734"/>
      <c r="P73" s="734"/>
      <c r="Q73" s="734"/>
      <c r="R73" s="735"/>
      <c r="S73" s="736" t="s">
        <v>196</v>
      </c>
      <c r="T73" s="734"/>
      <c r="U73" s="723" t="s">
        <v>196</v>
      </c>
      <c r="V73" s="737"/>
      <c r="W73" s="723" t="s">
        <v>196</v>
      </c>
      <c r="X73" s="724"/>
    </row>
    <row r="74" spans="2:24" ht="15" customHeight="1" x14ac:dyDescent="0.15">
      <c r="C74" s="1" t="s">
        <v>495</v>
      </c>
      <c r="E74" s="4"/>
      <c r="F74" s="4"/>
      <c r="G74" s="4"/>
      <c r="H74" s="4"/>
      <c r="I74" s="4"/>
      <c r="J74" s="4"/>
      <c r="K74" s="119"/>
      <c r="L74" s="119"/>
      <c r="M74" s="2"/>
      <c r="O74" s="602"/>
      <c r="P74" s="602"/>
      <c r="Q74" s="4"/>
      <c r="R74" s="4"/>
      <c r="S74" s="119"/>
      <c r="T74" s="119"/>
    </row>
    <row r="75" spans="2:24" s="50" customFormat="1" ht="15" customHeight="1" x14ac:dyDescent="0.15">
      <c r="B75" s="3"/>
      <c r="C75" s="3"/>
      <c r="D75" s="3"/>
      <c r="E75" s="4"/>
      <c r="F75" s="4"/>
      <c r="G75" s="4"/>
      <c r="H75" s="4"/>
      <c r="I75" s="4"/>
      <c r="J75" s="4"/>
      <c r="K75" s="116"/>
      <c r="L75" s="116"/>
      <c r="M75" s="118"/>
      <c r="N75" s="3"/>
      <c r="O75" s="602"/>
      <c r="P75" s="602"/>
      <c r="Q75" s="4"/>
      <c r="R75" s="4"/>
      <c r="S75" s="116"/>
      <c r="T75" s="116"/>
    </row>
    <row r="76" spans="2:24" ht="12.95" customHeight="1" x14ac:dyDescent="0.15"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2"/>
      <c r="N76" s="732"/>
      <c r="O76" s="732"/>
      <c r="P76" s="732"/>
      <c r="Q76" s="732"/>
      <c r="R76" s="732"/>
      <c r="S76" s="732"/>
      <c r="T76" s="732"/>
    </row>
    <row r="77" spans="2:24" ht="12.95" customHeight="1" x14ac:dyDescent="0.15">
      <c r="B77" s="117"/>
      <c r="E77" s="1"/>
      <c r="F77" s="116"/>
      <c r="G77" s="116"/>
      <c r="H77" s="116"/>
      <c r="I77" s="116"/>
      <c r="J77" s="116"/>
      <c r="K77" s="4"/>
      <c r="L77" s="4"/>
      <c r="M77" s="2"/>
      <c r="N77" s="117"/>
      <c r="Q77" s="1"/>
      <c r="R77" s="116"/>
      <c r="S77" s="4"/>
      <c r="T77" s="4"/>
    </row>
    <row r="78" spans="2:24" ht="12.95" customHeight="1" x14ac:dyDescent="0.15">
      <c r="B78" s="1"/>
      <c r="E78" s="1"/>
      <c r="F78" s="116"/>
      <c r="G78" s="116"/>
      <c r="H78" s="116"/>
      <c r="I78" s="116"/>
      <c r="J78" s="116"/>
      <c r="K78" s="4"/>
      <c r="L78" s="4"/>
      <c r="M78" s="2"/>
      <c r="N78" s="1"/>
      <c r="Q78" s="1"/>
      <c r="R78" s="116"/>
      <c r="S78" s="4"/>
      <c r="T78" s="4"/>
    </row>
    <row r="79" spans="2:24" ht="12.95" customHeight="1" x14ac:dyDescent="0.15">
      <c r="E79" s="1"/>
      <c r="F79" s="116"/>
      <c r="G79" s="116"/>
      <c r="H79" s="116"/>
      <c r="I79" s="116"/>
      <c r="J79" s="116"/>
      <c r="M79" s="2"/>
    </row>
    <row r="80" spans="2:24" ht="12.95" customHeight="1" x14ac:dyDescent="0.15">
      <c r="E80" s="1"/>
      <c r="F80" s="116"/>
      <c r="G80" s="116"/>
      <c r="H80" s="116"/>
      <c r="I80" s="116"/>
      <c r="J80" s="116"/>
      <c r="M80" s="2"/>
    </row>
    <row r="81" spans="2:13" ht="12.95" customHeight="1" x14ac:dyDescent="0.15">
      <c r="E81" s="1"/>
      <c r="F81" s="116"/>
      <c r="G81" s="116"/>
      <c r="H81" s="116"/>
      <c r="I81" s="116"/>
      <c r="J81" s="116"/>
      <c r="M81" s="2"/>
    </row>
    <row r="82" spans="2:13" ht="15" customHeight="1" x14ac:dyDescent="0.15">
      <c r="E82" s="1"/>
      <c r="F82" s="116"/>
      <c r="G82" s="116"/>
      <c r="H82" s="116"/>
      <c r="I82" s="116"/>
      <c r="J82" s="116"/>
      <c r="M82" s="2"/>
    </row>
    <row r="83" spans="2:13" ht="10.5" customHeight="1" x14ac:dyDescent="0.15">
      <c r="B83" s="50"/>
      <c r="C83" s="50"/>
      <c r="D83" s="50"/>
      <c r="E83" s="50"/>
      <c r="F83" s="50"/>
      <c r="G83" s="50"/>
      <c r="H83" s="50"/>
      <c r="I83" s="50"/>
      <c r="J83" s="50"/>
      <c r="K83" s="115"/>
      <c r="L83" s="115"/>
      <c r="M83" s="4"/>
    </row>
    <row r="84" spans="2:13" ht="10.5" customHeight="1" x14ac:dyDescent="0.15">
      <c r="C84" s="1"/>
      <c r="D84" s="1"/>
      <c r="E84" s="1"/>
      <c r="F84" s="1"/>
      <c r="G84" s="1"/>
      <c r="H84" s="1"/>
      <c r="I84" s="1"/>
      <c r="J84" s="1"/>
      <c r="K84" s="4"/>
      <c r="L84" s="4"/>
    </row>
    <row r="85" spans="2:13" ht="10.5" customHeight="1" x14ac:dyDescent="0.15"/>
  </sheetData>
  <mergeCells count="84">
    <mergeCell ref="C14:D14"/>
    <mergeCell ref="O14:P14"/>
    <mergeCell ref="C70:D70"/>
    <mergeCell ref="O72:P72"/>
    <mergeCell ref="B13:D13"/>
    <mergeCell ref="E13:E14"/>
    <mergeCell ref="G13:H13"/>
    <mergeCell ref="I13:J13"/>
    <mergeCell ref="K13:L13"/>
    <mergeCell ref="N76:R76"/>
    <mergeCell ref="S76:T76"/>
    <mergeCell ref="N73:R73"/>
    <mergeCell ref="S73:T73"/>
    <mergeCell ref="U73:V73"/>
    <mergeCell ref="U13:V13"/>
    <mergeCell ref="W73:X73"/>
    <mergeCell ref="O74:P74"/>
    <mergeCell ref="O75:P75"/>
    <mergeCell ref="N13:P13"/>
    <mergeCell ref="Q13:Q14"/>
    <mergeCell ref="S13:T13"/>
    <mergeCell ref="W13:X13"/>
    <mergeCell ref="K12:L12"/>
    <mergeCell ref="P12:R12"/>
    <mergeCell ref="U11:V11"/>
    <mergeCell ref="W11:X11"/>
    <mergeCell ref="G10:H10"/>
    <mergeCell ref="U12:V12"/>
    <mergeCell ref="I10:J10"/>
    <mergeCell ref="K10:L10"/>
    <mergeCell ref="P10:R10"/>
    <mergeCell ref="S12:T12"/>
    <mergeCell ref="S11:T11"/>
    <mergeCell ref="S10:T10"/>
    <mergeCell ref="U10:V10"/>
    <mergeCell ref="W12:X12"/>
    <mergeCell ref="P11:R11"/>
    <mergeCell ref="W8:X8"/>
    <mergeCell ref="U9:V9"/>
    <mergeCell ref="W9:X9"/>
    <mergeCell ref="W10:X10"/>
    <mergeCell ref="U8:V8"/>
    <mergeCell ref="S9:T9"/>
    <mergeCell ref="N6:O12"/>
    <mergeCell ref="P6:R6"/>
    <mergeCell ref="S6:T6"/>
    <mergeCell ref="D8:F8"/>
    <mergeCell ref="G8:H8"/>
    <mergeCell ref="I8:J8"/>
    <mergeCell ref="K8:L8"/>
    <mergeCell ref="P8:R8"/>
    <mergeCell ref="S8:T8"/>
    <mergeCell ref="D9:F9"/>
    <mergeCell ref="G9:H9"/>
    <mergeCell ref="I9:J9"/>
    <mergeCell ref="K9:L9"/>
    <mergeCell ref="P9:R9"/>
    <mergeCell ref="D11:F11"/>
    <mergeCell ref="U6:V6"/>
    <mergeCell ref="W6:X6"/>
    <mergeCell ref="D7:F7"/>
    <mergeCell ref="G7:H7"/>
    <mergeCell ref="I7:J7"/>
    <mergeCell ref="K7:L7"/>
    <mergeCell ref="P7:R7"/>
    <mergeCell ref="S7:T7"/>
    <mergeCell ref="U7:V7"/>
    <mergeCell ref="W7:X7"/>
    <mergeCell ref="B1:L1"/>
    <mergeCell ref="G3:L3"/>
    <mergeCell ref="B4:C4"/>
    <mergeCell ref="G4:L4"/>
    <mergeCell ref="B6:C12"/>
    <mergeCell ref="D6:F6"/>
    <mergeCell ref="G6:H6"/>
    <mergeCell ref="I6:J6"/>
    <mergeCell ref="K6:L6"/>
    <mergeCell ref="D10:F10"/>
    <mergeCell ref="G11:H11"/>
    <mergeCell ref="I11:J11"/>
    <mergeCell ref="K11:L11"/>
    <mergeCell ref="D12:F12"/>
    <mergeCell ref="G12:H12"/>
    <mergeCell ref="I12:J12"/>
  </mergeCells>
  <phoneticPr fontId="4"/>
  <printOptions horizontalCentered="1"/>
  <pageMargins left="0.70866141732283472" right="0.70866141732283472" top="0.78740157480314965" bottom="0.39370078740157483" header="0" footer="0"/>
  <pageSetup paperSize="9" scale="4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1"/>
  <dimension ref="B1:N80"/>
  <sheetViews>
    <sheetView zoomScaleNormal="100" zoomScaleSheetLayoutView="110" workbookViewId="0"/>
  </sheetViews>
  <sheetFormatPr defaultColWidth="8.875" defaultRowHeight="10.5" x14ac:dyDescent="0.15"/>
  <cols>
    <col min="1" max="1" width="1.75" style="3" customWidth="1"/>
    <col min="2" max="2" width="3.125" style="3" customWidth="1"/>
    <col min="3" max="3" width="8.875" style="3" customWidth="1"/>
    <col min="4" max="4" width="14.25" style="3" customWidth="1"/>
    <col min="5" max="5" width="12.125" style="3" customWidth="1"/>
    <col min="6" max="12" width="7.5" style="3" customWidth="1"/>
    <col min="13" max="13" width="12.25" style="4" customWidth="1"/>
    <col min="14" max="14" width="3.5" style="3" customWidth="1"/>
    <col min="15" max="16384" width="8.875" style="3"/>
  </cols>
  <sheetData>
    <row r="1" spans="2:14" ht="20.100000000000001" customHeight="1" x14ac:dyDescent="0.15">
      <c r="B1" s="551" t="s">
        <v>685</v>
      </c>
      <c r="C1" s="551"/>
      <c r="D1" s="551"/>
      <c r="E1" s="551"/>
      <c r="F1" s="551"/>
      <c r="G1" s="551"/>
      <c r="H1" s="551"/>
    </row>
    <row r="2" spans="2:14" ht="12" customHeight="1" thickBot="1" x14ac:dyDescent="0.2">
      <c r="C2" s="16"/>
    </row>
    <row r="3" spans="2:14" ht="16.899999999999999" customHeight="1" thickBot="1" x14ac:dyDescent="0.2">
      <c r="B3" s="4"/>
      <c r="C3" s="10"/>
      <c r="D3" s="12"/>
      <c r="E3" s="4"/>
      <c r="F3" s="41" t="s">
        <v>7</v>
      </c>
      <c r="G3" s="639" t="s">
        <v>8</v>
      </c>
      <c r="H3" s="639"/>
      <c r="I3" s="639"/>
      <c r="J3" s="639"/>
      <c r="K3" s="639"/>
      <c r="L3" s="4"/>
      <c r="N3" s="4"/>
    </row>
    <row r="4" spans="2:14" ht="16.899999999999999" customHeight="1" thickBot="1" x14ac:dyDescent="0.2">
      <c r="B4" s="620" t="s">
        <v>23</v>
      </c>
      <c r="C4" s="621"/>
      <c r="D4" s="31" t="s">
        <v>273</v>
      </c>
      <c r="E4" s="4"/>
      <c r="F4" s="42"/>
      <c r="G4" s="646" t="s">
        <v>274</v>
      </c>
      <c r="H4" s="646"/>
      <c r="I4" s="646"/>
      <c r="J4" s="646"/>
      <c r="K4" s="646"/>
      <c r="L4" s="4"/>
      <c r="N4" s="4"/>
    </row>
    <row r="5" spans="2:14" ht="10.15" customHeight="1" thickBot="1" x14ac:dyDescent="0.2">
      <c r="B5" s="4"/>
      <c r="C5" s="4"/>
      <c r="D5" s="4"/>
      <c r="E5" s="4"/>
      <c r="F5" s="4"/>
      <c r="G5" s="4"/>
      <c r="H5" s="4"/>
      <c r="I5" s="4"/>
      <c r="J5" s="4"/>
      <c r="K5" s="4"/>
      <c r="L5" s="4"/>
      <c r="N5" s="4"/>
    </row>
    <row r="6" spans="2:14" ht="12" customHeight="1" x14ac:dyDescent="0.15">
      <c r="B6" s="624" t="s">
        <v>124</v>
      </c>
      <c r="C6" s="625"/>
      <c r="D6" s="628" t="s">
        <v>9</v>
      </c>
      <c r="E6" s="629"/>
      <c r="F6" s="167">
        <v>45028</v>
      </c>
      <c r="G6" s="233">
        <v>45112</v>
      </c>
      <c r="H6" s="374">
        <v>45203</v>
      </c>
      <c r="I6" s="405">
        <v>45301</v>
      </c>
      <c r="J6" s="640" t="s">
        <v>0</v>
      </c>
      <c r="K6" s="643" t="s">
        <v>1</v>
      </c>
      <c r="L6" s="574" t="s">
        <v>2</v>
      </c>
      <c r="M6" s="577" t="s">
        <v>15</v>
      </c>
      <c r="N6" s="4"/>
    </row>
    <row r="7" spans="2:14" ht="12" customHeight="1" x14ac:dyDescent="0.15">
      <c r="B7" s="626"/>
      <c r="C7" s="627"/>
      <c r="D7" s="622" t="s">
        <v>14</v>
      </c>
      <c r="E7" s="623"/>
      <c r="F7" s="168">
        <v>0.37152777777777773</v>
      </c>
      <c r="G7" s="169">
        <v>0.37986111111111115</v>
      </c>
      <c r="H7" s="375">
        <v>0.37291666666666662</v>
      </c>
      <c r="I7" s="406">
        <v>0.3756944444444445</v>
      </c>
      <c r="J7" s="641"/>
      <c r="K7" s="644"/>
      <c r="L7" s="647"/>
      <c r="M7" s="578"/>
      <c r="N7" s="4"/>
    </row>
    <row r="8" spans="2:14" ht="12" customHeight="1" x14ac:dyDescent="0.15">
      <c r="B8" s="626"/>
      <c r="C8" s="627"/>
      <c r="D8" s="622" t="s">
        <v>10</v>
      </c>
      <c r="E8" s="623"/>
      <c r="F8" s="169" t="s">
        <v>466</v>
      </c>
      <c r="G8" s="169" t="s">
        <v>302</v>
      </c>
      <c r="H8" s="363" t="s">
        <v>580</v>
      </c>
      <c r="I8" s="449" t="s">
        <v>557</v>
      </c>
      <c r="J8" s="641"/>
      <c r="K8" s="644"/>
      <c r="L8" s="647"/>
      <c r="M8" s="578"/>
      <c r="N8" s="4"/>
    </row>
    <row r="9" spans="2:14" ht="12" customHeight="1" x14ac:dyDescent="0.15">
      <c r="B9" s="626"/>
      <c r="C9" s="627"/>
      <c r="D9" s="649" t="s">
        <v>11</v>
      </c>
      <c r="E9" s="650"/>
      <c r="F9" s="169" t="s">
        <v>525</v>
      </c>
      <c r="G9" s="169" t="s">
        <v>466</v>
      </c>
      <c r="H9" s="363" t="s">
        <v>551</v>
      </c>
      <c r="I9" s="449" t="s">
        <v>557</v>
      </c>
      <c r="J9" s="642"/>
      <c r="K9" s="645"/>
      <c r="L9" s="648"/>
      <c r="M9" s="744"/>
      <c r="N9" s="83"/>
    </row>
    <row r="10" spans="2:14" ht="12" customHeight="1" x14ac:dyDescent="0.15">
      <c r="B10" s="626"/>
      <c r="C10" s="627"/>
      <c r="D10" s="649" t="s">
        <v>12</v>
      </c>
      <c r="E10" s="650"/>
      <c r="F10" s="170">
        <v>10.3</v>
      </c>
      <c r="G10" s="91">
        <v>23.7</v>
      </c>
      <c r="H10" s="366">
        <v>19</v>
      </c>
      <c r="I10" s="395">
        <v>0.5</v>
      </c>
      <c r="J10" s="170">
        <f>MAX(F10:I10)</f>
        <v>23.7</v>
      </c>
      <c r="K10" s="451">
        <f>MIN(F10:I10)</f>
        <v>0.5</v>
      </c>
      <c r="L10" s="395">
        <f>AVERAGEA(F10:I10)</f>
        <v>13.375</v>
      </c>
      <c r="M10" s="744"/>
      <c r="N10" s="83"/>
    </row>
    <row r="11" spans="2:14" ht="12" customHeight="1" x14ac:dyDescent="0.15">
      <c r="B11" s="626"/>
      <c r="C11" s="627"/>
      <c r="D11" s="649" t="s">
        <v>263</v>
      </c>
      <c r="E11" s="650"/>
      <c r="F11" s="170">
        <v>7.4</v>
      </c>
      <c r="G11" s="91">
        <v>18.899999999999999</v>
      </c>
      <c r="H11" s="366">
        <v>18.899999999999999</v>
      </c>
      <c r="I11" s="395">
        <v>5.4</v>
      </c>
      <c r="J11" s="170">
        <f>MAX(F11:I11)</f>
        <v>18.899999999999999</v>
      </c>
      <c r="K11" s="451">
        <f>MIN(F11:I11)</f>
        <v>5.4</v>
      </c>
      <c r="L11" s="395">
        <f>AVERAGEA(F11:I11)</f>
        <v>12.649999999999999</v>
      </c>
      <c r="M11" s="744"/>
      <c r="N11" s="83"/>
    </row>
    <row r="12" spans="2:14" ht="12" customHeight="1" thickBot="1" x14ac:dyDescent="0.2">
      <c r="B12" s="747"/>
      <c r="C12" s="748"/>
      <c r="D12" s="745" t="s">
        <v>4</v>
      </c>
      <c r="E12" s="746"/>
      <c r="F12" s="197">
        <v>0.48</v>
      </c>
      <c r="G12" s="247">
        <v>0.85</v>
      </c>
      <c r="H12" s="372">
        <v>0.81</v>
      </c>
      <c r="I12" s="463">
        <v>0.49</v>
      </c>
      <c r="J12" s="465">
        <f>IF(MAXA(F12:I12)&lt;0.05,"&lt;0.05",MAXA(F12:I12))</f>
        <v>0.85</v>
      </c>
      <c r="K12" s="466">
        <f>IF(MINA(F12:I12)&lt;0.05,"&lt;0.05",MINA(F12:I12))</f>
        <v>0.48</v>
      </c>
      <c r="L12" s="463">
        <f>IF(AVERAGEA(F12:I12)&lt;0.05,"&lt;0.05",AVERAGEA(F12:I12))</f>
        <v>0.65749999999999997</v>
      </c>
      <c r="M12" s="579"/>
      <c r="N12" s="4"/>
    </row>
    <row r="13" spans="2:14" ht="15" customHeight="1" x14ac:dyDescent="0.15">
      <c r="B13" s="584" t="s">
        <v>125</v>
      </c>
      <c r="C13" s="585"/>
      <c r="D13" s="585"/>
      <c r="E13" s="32" t="s">
        <v>64</v>
      </c>
      <c r="F13" s="587" t="s">
        <v>3</v>
      </c>
      <c r="G13" s="585"/>
      <c r="H13" s="585"/>
      <c r="I13" s="588"/>
      <c r="J13" s="587"/>
      <c r="K13" s="585"/>
      <c r="L13" s="588"/>
      <c r="M13" s="29"/>
      <c r="N13" s="4"/>
    </row>
    <row r="14" spans="2:14" ht="12" customHeight="1" x14ac:dyDescent="0.15">
      <c r="B14" s="19">
        <v>1</v>
      </c>
      <c r="C14" s="592" t="s">
        <v>24</v>
      </c>
      <c r="D14" s="593"/>
      <c r="E14" s="11" t="s">
        <v>105</v>
      </c>
      <c r="F14" s="171"/>
      <c r="G14" s="234"/>
      <c r="H14" s="234"/>
      <c r="I14" s="392"/>
      <c r="J14" s="308"/>
      <c r="K14" s="358"/>
      <c r="L14" s="418"/>
      <c r="M14" s="594" t="s">
        <v>59</v>
      </c>
      <c r="N14" s="2"/>
    </row>
    <row r="15" spans="2:14" ht="12" customHeight="1" x14ac:dyDescent="0.15">
      <c r="B15" s="19">
        <f>B14+1</f>
        <v>2</v>
      </c>
      <c r="C15" s="592" t="s">
        <v>25</v>
      </c>
      <c r="D15" s="593"/>
      <c r="E15" s="15" t="s">
        <v>114</v>
      </c>
      <c r="F15" s="164"/>
      <c r="G15" s="172"/>
      <c r="H15" s="363"/>
      <c r="I15" s="449"/>
      <c r="J15" s="454"/>
      <c r="K15" s="447"/>
      <c r="L15" s="449"/>
      <c r="M15" s="578"/>
      <c r="N15" s="2"/>
    </row>
    <row r="16" spans="2:14" ht="12" customHeight="1" x14ac:dyDescent="0.15">
      <c r="B16" s="19">
        <f t="shared" ref="B16:B64" si="0">B15+1</f>
        <v>3</v>
      </c>
      <c r="C16" s="592" t="s">
        <v>26</v>
      </c>
      <c r="D16" s="593"/>
      <c r="E16" s="11" t="s">
        <v>209</v>
      </c>
      <c r="F16" s="173"/>
      <c r="G16" s="179"/>
      <c r="H16" s="179"/>
      <c r="I16" s="393"/>
      <c r="J16" s="239"/>
      <c r="K16" s="179"/>
      <c r="L16" s="393"/>
      <c r="M16" s="595" t="s">
        <v>60</v>
      </c>
      <c r="N16" s="2"/>
    </row>
    <row r="17" spans="2:14" ht="12" customHeight="1" x14ac:dyDescent="0.15">
      <c r="B17" s="19">
        <f t="shared" si="0"/>
        <v>4</v>
      </c>
      <c r="C17" s="592" t="s">
        <v>27</v>
      </c>
      <c r="D17" s="593"/>
      <c r="E17" s="11" t="s">
        <v>106</v>
      </c>
      <c r="F17" s="174"/>
      <c r="G17" s="235"/>
      <c r="H17" s="235"/>
      <c r="I17" s="394"/>
      <c r="J17" s="276"/>
      <c r="K17" s="235"/>
      <c r="L17" s="394"/>
      <c r="M17" s="595"/>
      <c r="N17" s="2"/>
    </row>
    <row r="18" spans="2:14" ht="12" customHeight="1" x14ac:dyDescent="0.15">
      <c r="B18" s="19">
        <f t="shared" si="0"/>
        <v>5</v>
      </c>
      <c r="C18" s="592" t="s">
        <v>28</v>
      </c>
      <c r="D18" s="593"/>
      <c r="E18" s="11" t="s">
        <v>93</v>
      </c>
      <c r="F18" s="173"/>
      <c r="G18" s="179"/>
      <c r="H18" s="179"/>
      <c r="I18" s="393"/>
      <c r="J18" s="239"/>
      <c r="K18" s="179"/>
      <c r="L18" s="393"/>
      <c r="M18" s="595"/>
      <c r="N18" s="2"/>
    </row>
    <row r="19" spans="2:14" ht="12" customHeight="1" x14ac:dyDescent="0.15">
      <c r="B19" s="19">
        <f t="shared" si="0"/>
        <v>6</v>
      </c>
      <c r="C19" s="592" t="s">
        <v>29</v>
      </c>
      <c r="D19" s="593"/>
      <c r="E19" s="11" t="s">
        <v>93</v>
      </c>
      <c r="F19" s="173"/>
      <c r="G19" s="179"/>
      <c r="H19" s="179"/>
      <c r="I19" s="393"/>
      <c r="J19" s="239"/>
      <c r="K19" s="179"/>
      <c r="L19" s="393"/>
      <c r="M19" s="595"/>
      <c r="N19" s="2"/>
    </row>
    <row r="20" spans="2:14" ht="12" customHeight="1" x14ac:dyDescent="0.15">
      <c r="B20" s="19">
        <f t="shared" si="0"/>
        <v>7</v>
      </c>
      <c r="C20" s="592" t="s">
        <v>30</v>
      </c>
      <c r="D20" s="593"/>
      <c r="E20" s="11" t="s">
        <v>93</v>
      </c>
      <c r="F20" s="173"/>
      <c r="G20" s="179"/>
      <c r="H20" s="179"/>
      <c r="I20" s="393"/>
      <c r="J20" s="239"/>
      <c r="K20" s="179"/>
      <c r="L20" s="393"/>
      <c r="M20" s="595"/>
      <c r="N20" s="2"/>
    </row>
    <row r="21" spans="2:14" ht="12" customHeight="1" x14ac:dyDescent="0.15">
      <c r="B21" s="19">
        <f t="shared" si="0"/>
        <v>8</v>
      </c>
      <c r="C21" s="592" t="s">
        <v>31</v>
      </c>
      <c r="D21" s="593"/>
      <c r="E21" s="11" t="s">
        <v>96</v>
      </c>
      <c r="F21" s="173"/>
      <c r="G21" s="179"/>
      <c r="H21" s="179"/>
      <c r="I21" s="393"/>
      <c r="J21" s="239"/>
      <c r="K21" s="179"/>
      <c r="L21" s="393"/>
      <c r="M21" s="595"/>
      <c r="N21" s="2"/>
    </row>
    <row r="22" spans="2:14" ht="12" customHeight="1" x14ac:dyDescent="0.15">
      <c r="B22" s="19">
        <f t="shared" si="0"/>
        <v>9</v>
      </c>
      <c r="C22" s="592" t="s">
        <v>210</v>
      </c>
      <c r="D22" s="611"/>
      <c r="E22" s="11" t="s">
        <v>88</v>
      </c>
      <c r="F22" s="173"/>
      <c r="G22" s="179"/>
      <c r="H22" s="179"/>
      <c r="I22" s="393"/>
      <c r="J22" s="239"/>
      <c r="K22" s="179"/>
      <c r="L22" s="393"/>
      <c r="M22" s="594" t="s">
        <v>498</v>
      </c>
      <c r="N22" s="2"/>
    </row>
    <row r="23" spans="2:14" ht="12" customHeight="1" x14ac:dyDescent="0.15">
      <c r="B23" s="19">
        <f t="shared" si="0"/>
        <v>10</v>
      </c>
      <c r="C23" s="592" t="s">
        <v>32</v>
      </c>
      <c r="D23" s="593"/>
      <c r="E23" s="11" t="s">
        <v>93</v>
      </c>
      <c r="F23" s="173"/>
      <c r="G23" s="179"/>
      <c r="H23" s="179"/>
      <c r="I23" s="393"/>
      <c r="J23" s="239"/>
      <c r="K23" s="179"/>
      <c r="L23" s="393"/>
      <c r="M23" s="578"/>
      <c r="N23" s="2"/>
    </row>
    <row r="24" spans="2:14" ht="12" customHeight="1" x14ac:dyDescent="0.15">
      <c r="B24" s="19">
        <f t="shared" si="0"/>
        <v>11</v>
      </c>
      <c r="C24" s="592" t="s">
        <v>33</v>
      </c>
      <c r="D24" s="593"/>
      <c r="E24" s="11" t="s">
        <v>108</v>
      </c>
      <c r="F24" s="170"/>
      <c r="G24" s="91"/>
      <c r="H24" s="91"/>
      <c r="I24" s="395"/>
      <c r="J24" s="452"/>
      <c r="K24" s="91"/>
      <c r="L24" s="395"/>
      <c r="M24" s="578"/>
      <c r="N24" s="2"/>
    </row>
    <row r="25" spans="2:14" ht="12" customHeight="1" x14ac:dyDescent="0.15">
      <c r="B25" s="19">
        <f t="shared" si="0"/>
        <v>12</v>
      </c>
      <c r="C25" s="592" t="s">
        <v>34</v>
      </c>
      <c r="D25" s="593"/>
      <c r="E25" s="11" t="s">
        <v>109</v>
      </c>
      <c r="F25" s="177"/>
      <c r="G25" s="178"/>
      <c r="H25" s="178"/>
      <c r="I25" s="396"/>
      <c r="J25" s="178"/>
      <c r="K25" s="178"/>
      <c r="L25" s="396"/>
      <c r="M25" s="578"/>
      <c r="N25" s="2"/>
    </row>
    <row r="26" spans="2:14" ht="12" customHeight="1" x14ac:dyDescent="0.15">
      <c r="B26" s="19">
        <f t="shared" si="0"/>
        <v>13</v>
      </c>
      <c r="C26" s="592" t="s">
        <v>35</v>
      </c>
      <c r="D26" s="593"/>
      <c r="E26" s="11" t="s">
        <v>110</v>
      </c>
      <c r="F26" s="170"/>
      <c r="G26" s="91"/>
      <c r="H26" s="91"/>
      <c r="I26" s="395"/>
      <c r="J26" s="91"/>
      <c r="K26" s="91"/>
      <c r="L26" s="395"/>
      <c r="M26" s="596"/>
      <c r="N26" s="2"/>
    </row>
    <row r="27" spans="2:14" ht="12" customHeight="1" x14ac:dyDescent="0.15">
      <c r="B27" s="19">
        <f t="shared" si="0"/>
        <v>14</v>
      </c>
      <c r="C27" s="592" t="s">
        <v>36</v>
      </c>
      <c r="D27" s="593"/>
      <c r="E27" s="11" t="s">
        <v>111</v>
      </c>
      <c r="F27" s="176"/>
      <c r="G27" s="237"/>
      <c r="H27" s="237"/>
      <c r="I27" s="397"/>
      <c r="J27" s="237"/>
      <c r="K27" s="237"/>
      <c r="L27" s="397"/>
      <c r="M27" s="595" t="s">
        <v>62</v>
      </c>
      <c r="N27" s="2"/>
    </row>
    <row r="28" spans="2:14" ht="12" customHeight="1" x14ac:dyDescent="0.15">
      <c r="B28" s="19">
        <f t="shared" si="0"/>
        <v>15</v>
      </c>
      <c r="C28" s="592" t="s">
        <v>136</v>
      </c>
      <c r="D28" s="593"/>
      <c r="E28" s="11" t="s">
        <v>107</v>
      </c>
      <c r="F28" s="173"/>
      <c r="G28" s="179"/>
      <c r="H28" s="179"/>
      <c r="I28" s="393"/>
      <c r="J28" s="239"/>
      <c r="K28" s="179"/>
      <c r="L28" s="393"/>
      <c r="M28" s="595"/>
      <c r="N28" s="2"/>
    </row>
    <row r="29" spans="2:14" ht="24" customHeight="1" x14ac:dyDescent="0.15">
      <c r="B29" s="19">
        <f>B28+1</f>
        <v>16</v>
      </c>
      <c r="C29" s="597" t="s">
        <v>256</v>
      </c>
      <c r="D29" s="593"/>
      <c r="E29" s="11" t="s">
        <v>88</v>
      </c>
      <c r="F29" s="173"/>
      <c r="G29" s="179"/>
      <c r="H29" s="179"/>
      <c r="I29" s="393"/>
      <c r="J29" s="179"/>
      <c r="K29" s="179"/>
      <c r="L29" s="393"/>
      <c r="M29" s="595"/>
      <c r="N29" s="2"/>
    </row>
    <row r="30" spans="2:14" ht="12" customHeight="1" x14ac:dyDescent="0.15">
      <c r="B30" s="19">
        <f t="shared" si="0"/>
        <v>17</v>
      </c>
      <c r="C30" s="592" t="s">
        <v>137</v>
      </c>
      <c r="D30" s="593"/>
      <c r="E30" s="11" t="s">
        <v>96</v>
      </c>
      <c r="F30" s="173"/>
      <c r="G30" s="179"/>
      <c r="H30" s="179"/>
      <c r="I30" s="393"/>
      <c r="J30" s="179"/>
      <c r="K30" s="179"/>
      <c r="L30" s="393"/>
      <c r="M30" s="595"/>
      <c r="N30" s="2"/>
    </row>
    <row r="31" spans="2:14" ht="12" customHeight="1" x14ac:dyDescent="0.15">
      <c r="B31" s="19">
        <f t="shared" si="0"/>
        <v>18</v>
      </c>
      <c r="C31" s="592" t="s">
        <v>138</v>
      </c>
      <c r="D31" s="593"/>
      <c r="E31" s="11" t="s">
        <v>93</v>
      </c>
      <c r="F31" s="173"/>
      <c r="G31" s="179"/>
      <c r="H31" s="179"/>
      <c r="I31" s="393"/>
      <c r="J31" s="179"/>
      <c r="K31" s="179"/>
      <c r="L31" s="393"/>
      <c r="M31" s="595"/>
      <c r="N31" s="2"/>
    </row>
    <row r="32" spans="2:14" ht="12" customHeight="1" x14ac:dyDescent="0.15">
      <c r="B32" s="19">
        <f t="shared" si="0"/>
        <v>19</v>
      </c>
      <c r="C32" s="592" t="s">
        <v>139</v>
      </c>
      <c r="D32" s="593"/>
      <c r="E32" s="11" t="s">
        <v>93</v>
      </c>
      <c r="F32" s="173"/>
      <c r="G32" s="179"/>
      <c r="H32" s="179"/>
      <c r="I32" s="393"/>
      <c r="J32" s="179"/>
      <c r="K32" s="179"/>
      <c r="L32" s="393"/>
      <c r="M32" s="595"/>
      <c r="N32" s="2"/>
    </row>
    <row r="33" spans="2:14" ht="12" customHeight="1" x14ac:dyDescent="0.15">
      <c r="B33" s="19">
        <f t="shared" si="0"/>
        <v>20</v>
      </c>
      <c r="C33" s="592" t="s">
        <v>140</v>
      </c>
      <c r="D33" s="593"/>
      <c r="E33" s="11" t="s">
        <v>93</v>
      </c>
      <c r="F33" s="173"/>
      <c r="G33" s="179"/>
      <c r="H33" s="179"/>
      <c r="I33" s="393"/>
      <c r="J33" s="179"/>
      <c r="K33" s="179"/>
      <c r="L33" s="393"/>
      <c r="M33" s="595"/>
      <c r="N33" s="2"/>
    </row>
    <row r="34" spans="2:14" ht="12" customHeight="1" x14ac:dyDescent="0.15">
      <c r="B34" s="19">
        <f t="shared" si="0"/>
        <v>21</v>
      </c>
      <c r="C34" s="592" t="s">
        <v>252</v>
      </c>
      <c r="D34" s="593"/>
      <c r="E34" s="11" t="s">
        <v>91</v>
      </c>
      <c r="F34" s="175" t="s">
        <v>322</v>
      </c>
      <c r="G34" s="178" t="s">
        <v>322</v>
      </c>
      <c r="H34" s="178" t="s">
        <v>596</v>
      </c>
      <c r="I34" s="393" t="s">
        <v>322</v>
      </c>
      <c r="J34" s="277" t="str">
        <f>IF(MAXA(F34:I34)&lt;0.06,"&lt;0.06",MAXA(F34:I34))</f>
        <v>&lt;0.06</v>
      </c>
      <c r="K34" s="179" t="str">
        <f>IF(MINA(F34:I34)&lt;0.06,"&lt;0.06",MINA(F34:I34))</f>
        <v>&lt;0.06</v>
      </c>
      <c r="L34" s="393" t="str">
        <f>IF(AVERAGEA(F34:I34)&lt;0.06,"&lt;0.06",AVERAGEA(F34:I34))</f>
        <v>&lt;0.06</v>
      </c>
      <c r="M34" s="594" t="s">
        <v>61</v>
      </c>
      <c r="N34" s="2"/>
    </row>
    <row r="35" spans="2:14" ht="12" customHeight="1" x14ac:dyDescent="0.15">
      <c r="B35" s="19">
        <f t="shared" si="0"/>
        <v>22</v>
      </c>
      <c r="C35" s="592" t="s">
        <v>37</v>
      </c>
      <c r="D35" s="593"/>
      <c r="E35" s="11" t="s">
        <v>96</v>
      </c>
      <c r="F35" s="175" t="s">
        <v>307</v>
      </c>
      <c r="G35" s="179" t="s">
        <v>307</v>
      </c>
      <c r="H35" s="179" t="s">
        <v>307</v>
      </c>
      <c r="I35" s="393" t="s">
        <v>307</v>
      </c>
      <c r="J35" s="239" t="str">
        <f>IF(MAXA(F35:I35)&lt;0.002,"&lt;0.002",MAXA(F35:I35))</f>
        <v>&lt;0.002</v>
      </c>
      <c r="K35" s="179" t="str">
        <f>IF(MINA(F35:I35)&lt;0.002,"&lt;0.002",MINA(F35:I35))</f>
        <v>&lt;0.002</v>
      </c>
      <c r="L35" s="393" t="str">
        <f>IF(AVERAGEA(F35:I35)&lt;0.002,"&lt;0.002",AVERAGEA(F35:I35))</f>
        <v>&lt;0.002</v>
      </c>
      <c r="M35" s="578"/>
      <c r="N35" s="2"/>
    </row>
    <row r="36" spans="2:14" ht="12" customHeight="1" x14ac:dyDescent="0.15">
      <c r="B36" s="19">
        <f t="shared" si="0"/>
        <v>23</v>
      </c>
      <c r="C36" s="592" t="s">
        <v>141</v>
      </c>
      <c r="D36" s="593"/>
      <c r="E36" s="11" t="s">
        <v>113</v>
      </c>
      <c r="F36" s="175" t="s">
        <v>306</v>
      </c>
      <c r="G36" s="179" t="s">
        <v>306</v>
      </c>
      <c r="H36" s="179">
        <v>6.0000000000000001E-3</v>
      </c>
      <c r="I36" s="393" t="s">
        <v>306</v>
      </c>
      <c r="J36" s="239">
        <f>IF(MAXA(F36:I36)&lt;0.001,"&lt;0.001",MAXA(F36:I36))</f>
        <v>6.0000000000000001E-3</v>
      </c>
      <c r="K36" s="179" t="str">
        <f>IF(MINA(F36:I36)&lt;0.001,"&lt;0.001",MINA(F36:I36))</f>
        <v>&lt;0.001</v>
      </c>
      <c r="L36" s="393">
        <f>IF(AVERAGEA(F36:I36)&lt;0.001,"&lt;0.001",AVERAGEA(F36:I36))</f>
        <v>1.5E-3</v>
      </c>
      <c r="M36" s="578"/>
      <c r="N36" s="2"/>
    </row>
    <row r="37" spans="2:14" ht="12" customHeight="1" x14ac:dyDescent="0.15">
      <c r="B37" s="19">
        <f t="shared" si="0"/>
        <v>24</v>
      </c>
      <c r="C37" s="592" t="s">
        <v>38</v>
      </c>
      <c r="D37" s="593"/>
      <c r="E37" s="11" t="s">
        <v>112</v>
      </c>
      <c r="F37" s="175" t="s">
        <v>323</v>
      </c>
      <c r="G37" s="179" t="s">
        <v>323</v>
      </c>
      <c r="H37" s="179">
        <v>7.0000000000000001E-3</v>
      </c>
      <c r="I37" s="393" t="s">
        <v>323</v>
      </c>
      <c r="J37" s="239">
        <f>IF(MAXA(F37:I37)&lt;0.003,"&lt;0.003",MAXA(F37:I37))</f>
        <v>7.0000000000000001E-3</v>
      </c>
      <c r="K37" s="179" t="str">
        <f>IF(MINA(F37:I37)&lt;0.003,"&lt;0.003",MINA(F37:I37))</f>
        <v>&lt;0.003</v>
      </c>
      <c r="L37" s="393" t="str">
        <f>IF(AVERAGEA(F37:I37)&lt;0.003,"&lt;0.003",AVERAGEA(F37:I37))</f>
        <v>&lt;0.003</v>
      </c>
      <c r="M37" s="578"/>
      <c r="N37" s="2"/>
    </row>
    <row r="38" spans="2:14" ht="12" customHeight="1" x14ac:dyDescent="0.15">
      <c r="B38" s="19">
        <f t="shared" si="0"/>
        <v>25</v>
      </c>
      <c r="C38" s="592" t="s">
        <v>276</v>
      </c>
      <c r="D38" s="593"/>
      <c r="E38" s="11" t="s">
        <v>90</v>
      </c>
      <c r="F38" s="175" t="s">
        <v>306</v>
      </c>
      <c r="G38" s="179" t="s">
        <v>306</v>
      </c>
      <c r="H38" s="179" t="s">
        <v>306</v>
      </c>
      <c r="I38" s="393" t="s">
        <v>306</v>
      </c>
      <c r="J38" s="239" t="str">
        <f>IF(MAXA(F38:I38)&lt;0.001,"&lt;0.001",MAXA(F38:I38))</f>
        <v>&lt;0.001</v>
      </c>
      <c r="K38" s="179" t="str">
        <f>IF(MINA(F38:I38)&lt;0.001,"&lt;0.001",MINA(F38:I38))</f>
        <v>&lt;0.001</v>
      </c>
      <c r="L38" s="393" t="str">
        <f>IF(AVERAGEA(F38:I38)&lt;0.001,"&lt;0.001",AVERAGEA(F38:I38))</f>
        <v>&lt;0.001</v>
      </c>
      <c r="M38" s="578"/>
      <c r="N38" s="2"/>
    </row>
    <row r="39" spans="2:14" ht="12" customHeight="1" x14ac:dyDescent="0.15">
      <c r="B39" s="19">
        <f t="shared" si="0"/>
        <v>26</v>
      </c>
      <c r="C39" s="592" t="s">
        <v>39</v>
      </c>
      <c r="D39" s="593"/>
      <c r="E39" s="11" t="s">
        <v>93</v>
      </c>
      <c r="F39" s="175" t="s">
        <v>306</v>
      </c>
      <c r="G39" s="179" t="s">
        <v>306</v>
      </c>
      <c r="H39" s="179" t="s">
        <v>306</v>
      </c>
      <c r="I39" s="393" t="s">
        <v>306</v>
      </c>
      <c r="J39" s="239" t="str">
        <f>IF(MAXA(F39:I39)&lt;0.001,"&lt;0.001",MAXA(F39:I39))</f>
        <v>&lt;0.001</v>
      </c>
      <c r="K39" s="179" t="str">
        <f>IF(MINA(F39:I39)&lt;0.001,"&lt;0.001",MINA(F39:I39))</f>
        <v>&lt;0.001</v>
      </c>
      <c r="L39" s="393" t="str">
        <f>IF(AVERAGEA(F39:I39)&lt;0.001,"&lt;0.001",AVERAGEA(F39:I39))</f>
        <v>&lt;0.001</v>
      </c>
      <c r="M39" s="578"/>
      <c r="N39" s="2"/>
    </row>
    <row r="40" spans="2:14" ht="12" customHeight="1" x14ac:dyDescent="0.15">
      <c r="B40" s="19">
        <f t="shared" si="0"/>
        <v>27</v>
      </c>
      <c r="C40" s="592" t="s">
        <v>40</v>
      </c>
      <c r="D40" s="593"/>
      <c r="E40" s="11" t="s">
        <v>90</v>
      </c>
      <c r="F40" s="175" t="s">
        <v>308</v>
      </c>
      <c r="G40" s="179" t="s">
        <v>308</v>
      </c>
      <c r="H40" s="179">
        <v>8.9999999999999993E-3</v>
      </c>
      <c r="I40" s="393" t="s">
        <v>308</v>
      </c>
      <c r="J40" s="239">
        <f>IF(MAXA(F40:I40)&lt;0.004,"&lt;0.004",MAXA(F40:I40))</f>
        <v>8.9999999999999993E-3</v>
      </c>
      <c r="K40" s="179" t="str">
        <f>IF(MINA(F40:I40)&lt;0.004,"&lt;0.004",MINA(F40:I40))</f>
        <v>&lt;0.004</v>
      </c>
      <c r="L40" s="393" t="str">
        <f>IF(AVERAGEA(F40:I40)&lt;0.004,"&lt;0.004",AVERAGEA(F40:I40))</f>
        <v>&lt;0.004</v>
      </c>
      <c r="M40" s="578"/>
      <c r="N40" s="2"/>
    </row>
    <row r="41" spans="2:14" ht="12" customHeight="1" x14ac:dyDescent="0.15">
      <c r="B41" s="19">
        <f t="shared" si="0"/>
        <v>28</v>
      </c>
      <c r="C41" s="592" t="s">
        <v>41</v>
      </c>
      <c r="D41" s="593"/>
      <c r="E41" s="11" t="s">
        <v>112</v>
      </c>
      <c r="F41" s="175" t="s">
        <v>323</v>
      </c>
      <c r="G41" s="179" t="s">
        <v>323</v>
      </c>
      <c r="H41" s="179" t="s">
        <v>323</v>
      </c>
      <c r="I41" s="393" t="s">
        <v>323</v>
      </c>
      <c r="J41" s="239" t="str">
        <f>IF(MAXA(F41:I41)&lt;0.003,"&lt;0.003",MAXA(F41:I41))</f>
        <v>&lt;0.003</v>
      </c>
      <c r="K41" s="179" t="str">
        <f>IF(MINA(F41:I41)&lt;0.003,"&lt;0.003",MINA(F41:I41))</f>
        <v>&lt;0.003</v>
      </c>
      <c r="L41" s="393" t="str">
        <f>IF(AVERAGEA(F41:I41)&lt;0.003,"&lt;0.003",AVERAGEA(F41:I41))</f>
        <v>&lt;0.003</v>
      </c>
      <c r="M41" s="596"/>
      <c r="N41" s="2"/>
    </row>
    <row r="42" spans="2:14" ht="12" customHeight="1" x14ac:dyDescent="0.15">
      <c r="B42" s="19">
        <f t="shared" si="0"/>
        <v>29</v>
      </c>
      <c r="C42" s="592" t="s">
        <v>143</v>
      </c>
      <c r="D42" s="593"/>
      <c r="E42" s="11" t="s">
        <v>112</v>
      </c>
      <c r="F42" s="175" t="s">
        <v>306</v>
      </c>
      <c r="G42" s="179" t="s">
        <v>306</v>
      </c>
      <c r="H42" s="179">
        <v>3.0000000000000001E-3</v>
      </c>
      <c r="I42" s="393" t="s">
        <v>306</v>
      </c>
      <c r="J42" s="239">
        <f>IF(MAXA(F42:I42)&lt;0.001,"&lt;0.001",MAXA(F42:I42))</f>
        <v>3.0000000000000001E-3</v>
      </c>
      <c r="K42" s="179" t="str">
        <f>IF(MINA(F42:I42)&lt;0.001,"&lt;0.001",MINA(F42:I42))</f>
        <v>&lt;0.001</v>
      </c>
      <c r="L42" s="393" t="str">
        <f>IF(AVERAGEA(F42:I42)&lt;0.001,"&lt;0.001",AVERAGEA(F42:I42))</f>
        <v>&lt;0.001</v>
      </c>
      <c r="M42" s="578"/>
      <c r="N42" s="218"/>
    </row>
    <row r="43" spans="2:14" ht="12" customHeight="1" x14ac:dyDescent="0.15">
      <c r="B43" s="19">
        <f t="shared" si="0"/>
        <v>30</v>
      </c>
      <c r="C43" s="592" t="s">
        <v>277</v>
      </c>
      <c r="D43" s="593"/>
      <c r="E43" s="11" t="s">
        <v>115</v>
      </c>
      <c r="F43" s="175" t="s">
        <v>306</v>
      </c>
      <c r="G43" s="179" t="s">
        <v>306</v>
      </c>
      <c r="H43" s="179" t="s">
        <v>306</v>
      </c>
      <c r="I43" s="393" t="s">
        <v>306</v>
      </c>
      <c r="J43" s="239" t="str">
        <f>IF(MAXA(F43:I43)&lt;0.001,"&lt;0.001",MAXA(F43:I43))</f>
        <v>&lt;0.001</v>
      </c>
      <c r="K43" s="179" t="str">
        <f>IF(MINA(F43:I43)&lt;0.001,"&lt;0.001",MINA(F43:I43))</f>
        <v>&lt;0.001</v>
      </c>
      <c r="L43" s="393" t="str">
        <f>IF(AVERAGEA(F43:I43)&lt;0.001,"&lt;0.001",AVERAGEA(F43:I43))</f>
        <v>&lt;0.001</v>
      </c>
      <c r="M43" s="578"/>
      <c r="N43" s="2"/>
    </row>
    <row r="44" spans="2:14" ht="12" customHeight="1" x14ac:dyDescent="0.15">
      <c r="B44" s="19">
        <f t="shared" si="0"/>
        <v>31</v>
      </c>
      <c r="C44" s="592" t="s">
        <v>278</v>
      </c>
      <c r="D44" s="593"/>
      <c r="E44" s="11" t="s">
        <v>116</v>
      </c>
      <c r="F44" s="175" t="s">
        <v>321</v>
      </c>
      <c r="G44" s="179" t="s">
        <v>321</v>
      </c>
      <c r="H44" s="179" t="s">
        <v>321</v>
      </c>
      <c r="I44" s="393" t="s">
        <v>321</v>
      </c>
      <c r="J44" s="239" t="str">
        <f>IF(MAXA(F44:I44)&lt;0.008,"&lt;0.008",MAXA(F44:I44))</f>
        <v>&lt;0.008</v>
      </c>
      <c r="K44" s="179" t="str">
        <f>IF(MINA(F44:I44)&lt;0.008,"&lt;0.008",MINA(F44:I44))</f>
        <v>&lt;0.008</v>
      </c>
      <c r="L44" s="393" t="str">
        <f>IF(AVERAGEA(F44:I44)&lt;0.008,"&lt;0.008",AVERAGEA(F44:I44))</f>
        <v>&lt;0.008</v>
      </c>
      <c r="M44" s="596"/>
      <c r="N44" s="2"/>
    </row>
    <row r="45" spans="2:14" ht="12" customHeight="1" x14ac:dyDescent="0.15">
      <c r="B45" s="19">
        <f t="shared" si="0"/>
        <v>32</v>
      </c>
      <c r="C45" s="592" t="s">
        <v>42</v>
      </c>
      <c r="D45" s="593"/>
      <c r="E45" s="11" t="s">
        <v>110</v>
      </c>
      <c r="F45" s="177"/>
      <c r="G45" s="178"/>
      <c r="H45" s="178"/>
      <c r="I45" s="396"/>
      <c r="J45" s="277"/>
      <c r="K45" s="178"/>
      <c r="L45" s="396"/>
      <c r="M45" s="594" t="s">
        <v>60</v>
      </c>
      <c r="N45" s="2"/>
    </row>
    <row r="46" spans="2:14" ht="12" customHeight="1" x14ac:dyDescent="0.15">
      <c r="B46" s="19">
        <f t="shared" si="0"/>
        <v>33</v>
      </c>
      <c r="C46" s="592" t="s">
        <v>43</v>
      </c>
      <c r="D46" s="593"/>
      <c r="E46" s="11" t="s">
        <v>89</v>
      </c>
      <c r="F46" s="177">
        <v>0.27</v>
      </c>
      <c r="G46" s="178">
        <v>0.14000000000000001</v>
      </c>
      <c r="H46" s="178">
        <v>0.12</v>
      </c>
      <c r="I46" s="396">
        <v>0.26</v>
      </c>
      <c r="J46" s="277">
        <f>IF(MAXA(F46:I46)&lt;0.01,"&lt;0.01",MAXA(F46:I46))</f>
        <v>0.27</v>
      </c>
      <c r="K46" s="178">
        <f>IF(MINA(F46:I46)&lt;0.01,"&lt;0.01",MINA(F46:I46))</f>
        <v>0.12</v>
      </c>
      <c r="L46" s="396">
        <f>IF(AVERAGEA(F46:I46)&lt;0.01,"&lt;0.01",AVERAGEA(F46:I46))</f>
        <v>0.19750000000000001</v>
      </c>
      <c r="M46" s="578"/>
      <c r="N46" s="2"/>
    </row>
    <row r="47" spans="2:14" ht="12" customHeight="1" x14ac:dyDescent="0.15">
      <c r="B47" s="19">
        <f t="shared" si="0"/>
        <v>34</v>
      </c>
      <c r="C47" s="592" t="s">
        <v>44</v>
      </c>
      <c r="D47" s="593"/>
      <c r="E47" s="11" t="s">
        <v>95</v>
      </c>
      <c r="F47" s="175" t="s">
        <v>324</v>
      </c>
      <c r="G47" s="179" t="s">
        <v>324</v>
      </c>
      <c r="H47" s="179" t="s">
        <v>324</v>
      </c>
      <c r="I47" s="393" t="s">
        <v>324</v>
      </c>
      <c r="J47" s="239" t="str">
        <f>IF(MAXA(F47:I47)&lt;0.03,"&lt;0.03",MAXA(F47:I47))</f>
        <v>&lt;0.03</v>
      </c>
      <c r="K47" s="179" t="str">
        <f>IF(MINA(F47:I47)&lt;0.03,"&lt;0.03",MINA(F47:I47))</f>
        <v>&lt;0.03</v>
      </c>
      <c r="L47" s="393" t="str">
        <f>IF(AVERAGEA(F47:I47)&lt;0.03,"&lt;0.03",AVERAGEA(F47:I47))</f>
        <v>&lt;0.03</v>
      </c>
      <c r="M47" s="578"/>
      <c r="N47" s="2"/>
    </row>
    <row r="48" spans="2:14" ht="12" customHeight="1" x14ac:dyDescent="0.15">
      <c r="B48" s="19">
        <f t="shared" si="0"/>
        <v>35</v>
      </c>
      <c r="C48" s="592" t="s">
        <v>45</v>
      </c>
      <c r="D48" s="593"/>
      <c r="E48" s="11" t="s">
        <v>110</v>
      </c>
      <c r="F48" s="177"/>
      <c r="G48" s="178"/>
      <c r="H48" s="178"/>
      <c r="I48" s="396"/>
      <c r="J48" s="277"/>
      <c r="K48" s="178"/>
      <c r="L48" s="396"/>
      <c r="M48" s="578"/>
      <c r="N48" s="2"/>
    </row>
    <row r="49" spans="2:14" ht="12" customHeight="1" x14ac:dyDescent="0.15">
      <c r="B49" s="19">
        <f t="shared" si="0"/>
        <v>36</v>
      </c>
      <c r="C49" s="592" t="s">
        <v>46</v>
      </c>
      <c r="D49" s="593"/>
      <c r="E49" s="11" t="s">
        <v>65</v>
      </c>
      <c r="F49" s="170"/>
      <c r="G49" s="91"/>
      <c r="H49" s="91"/>
      <c r="I49" s="395"/>
      <c r="J49" s="452"/>
      <c r="K49" s="91"/>
      <c r="L49" s="395"/>
      <c r="M49" s="578"/>
      <c r="N49" s="2"/>
    </row>
    <row r="50" spans="2:14" ht="12" customHeight="1" x14ac:dyDescent="0.15">
      <c r="B50" s="19">
        <f t="shared" si="0"/>
        <v>37</v>
      </c>
      <c r="C50" s="592" t="s">
        <v>47</v>
      </c>
      <c r="D50" s="593"/>
      <c r="E50" s="11" t="s">
        <v>107</v>
      </c>
      <c r="F50" s="173">
        <v>1E-3</v>
      </c>
      <c r="G50" s="179">
        <v>3.0000000000000001E-3</v>
      </c>
      <c r="H50" s="179">
        <v>7.0000000000000001E-3</v>
      </c>
      <c r="I50" s="393" t="s">
        <v>561</v>
      </c>
      <c r="J50" s="239">
        <f>IF(MAXA(F50:I50)&lt;0.001,"&lt;0.001",MAXA(F50:I50))</f>
        <v>7.0000000000000001E-3</v>
      </c>
      <c r="K50" s="179" t="str">
        <f>IF(MINA(F50:I50)&lt;0.001,"&lt;0.001",MINA(F50:I50))</f>
        <v>&lt;0.001</v>
      </c>
      <c r="L50" s="393">
        <f>IF(AVERAGEA(F50:I50)&lt;0.001,"&lt;0.001",AVERAGEA(F50:I50))</f>
        <v>2.7499999999999998E-3</v>
      </c>
      <c r="M50" s="596"/>
      <c r="N50" s="2"/>
    </row>
    <row r="51" spans="2:14" ht="12" customHeight="1" x14ac:dyDescent="0.15">
      <c r="B51" s="19">
        <f t="shared" si="0"/>
        <v>38</v>
      </c>
      <c r="C51" s="592" t="s">
        <v>48</v>
      </c>
      <c r="D51" s="593"/>
      <c r="E51" s="11" t="s">
        <v>65</v>
      </c>
      <c r="F51" s="171"/>
      <c r="G51" s="234"/>
      <c r="H51" s="234"/>
      <c r="I51" s="392"/>
      <c r="J51" s="186"/>
      <c r="K51" s="234"/>
      <c r="L51" s="392"/>
      <c r="M51" s="9" t="s">
        <v>499</v>
      </c>
      <c r="N51" s="2"/>
    </row>
    <row r="52" spans="2:14" ht="12" customHeight="1" x14ac:dyDescent="0.15">
      <c r="B52" s="19">
        <f t="shared" si="0"/>
        <v>39</v>
      </c>
      <c r="C52" s="592" t="s">
        <v>49</v>
      </c>
      <c r="D52" s="593"/>
      <c r="E52" s="11" t="s">
        <v>66</v>
      </c>
      <c r="F52" s="171"/>
      <c r="G52" s="234"/>
      <c r="H52" s="234"/>
      <c r="I52" s="392"/>
      <c r="J52" s="186"/>
      <c r="K52" s="234"/>
      <c r="L52" s="392"/>
      <c r="M52" s="595" t="s">
        <v>500</v>
      </c>
      <c r="N52" s="2"/>
    </row>
    <row r="53" spans="2:14" ht="12" customHeight="1" x14ac:dyDescent="0.15">
      <c r="B53" s="19">
        <f t="shared" si="0"/>
        <v>40</v>
      </c>
      <c r="C53" s="592" t="s">
        <v>50</v>
      </c>
      <c r="D53" s="593"/>
      <c r="E53" s="11" t="s">
        <v>67</v>
      </c>
      <c r="F53" s="171"/>
      <c r="G53" s="234"/>
      <c r="H53" s="234"/>
      <c r="I53" s="392"/>
      <c r="J53" s="186"/>
      <c r="K53" s="234"/>
      <c r="L53" s="392"/>
      <c r="M53" s="595"/>
      <c r="N53" s="2"/>
    </row>
    <row r="54" spans="2:14" ht="12" customHeight="1" x14ac:dyDescent="0.15">
      <c r="B54" s="19">
        <f t="shared" si="0"/>
        <v>41</v>
      </c>
      <c r="C54" s="592" t="s">
        <v>51</v>
      </c>
      <c r="D54" s="593"/>
      <c r="E54" s="11" t="s">
        <v>89</v>
      </c>
      <c r="F54" s="177"/>
      <c r="G54" s="178"/>
      <c r="H54" s="178"/>
      <c r="I54" s="396"/>
      <c r="J54" s="277"/>
      <c r="K54" s="178"/>
      <c r="L54" s="396"/>
      <c r="M54" s="595" t="s">
        <v>62</v>
      </c>
      <c r="N54" s="2"/>
    </row>
    <row r="55" spans="2:14" ht="12" customHeight="1" x14ac:dyDescent="0.15">
      <c r="B55" s="19">
        <f t="shared" si="0"/>
        <v>42</v>
      </c>
      <c r="C55" s="592" t="s">
        <v>279</v>
      </c>
      <c r="D55" s="593"/>
      <c r="E55" s="11" t="s">
        <v>117</v>
      </c>
      <c r="F55" s="198"/>
      <c r="G55" s="288"/>
      <c r="H55" s="288"/>
      <c r="I55" s="398"/>
      <c r="J55" s="279"/>
      <c r="K55" s="288"/>
      <c r="L55" s="398"/>
      <c r="M55" s="595"/>
      <c r="N55" s="2"/>
    </row>
    <row r="56" spans="2:14" ht="12" customHeight="1" x14ac:dyDescent="0.15">
      <c r="B56" s="19">
        <f t="shared" si="0"/>
        <v>43</v>
      </c>
      <c r="C56" s="592" t="s">
        <v>280</v>
      </c>
      <c r="D56" s="593"/>
      <c r="E56" s="11" t="s">
        <v>117</v>
      </c>
      <c r="F56" s="198"/>
      <c r="G56" s="288"/>
      <c r="H56" s="288"/>
      <c r="I56" s="398"/>
      <c r="J56" s="419"/>
      <c r="K56" s="420"/>
      <c r="L56" s="421"/>
      <c r="M56" s="595"/>
      <c r="N56" s="2"/>
    </row>
    <row r="57" spans="2:14" ht="12" customHeight="1" x14ac:dyDescent="0.15">
      <c r="B57" s="19">
        <f t="shared" si="0"/>
        <v>44</v>
      </c>
      <c r="C57" s="592" t="s">
        <v>52</v>
      </c>
      <c r="D57" s="593"/>
      <c r="E57" s="11" t="s">
        <v>96</v>
      </c>
      <c r="F57" s="173"/>
      <c r="G57" s="179"/>
      <c r="H57" s="179"/>
      <c r="I57" s="393"/>
      <c r="J57" s="239"/>
      <c r="K57" s="179"/>
      <c r="L57" s="393"/>
      <c r="M57" s="595"/>
      <c r="N57" s="2"/>
    </row>
    <row r="58" spans="2:14" ht="12" customHeight="1" x14ac:dyDescent="0.15">
      <c r="B58" s="19">
        <f t="shared" si="0"/>
        <v>45</v>
      </c>
      <c r="C58" s="592" t="s">
        <v>53</v>
      </c>
      <c r="D58" s="593"/>
      <c r="E58" s="11" t="s">
        <v>118</v>
      </c>
      <c r="F58" s="176"/>
      <c r="G58" s="237"/>
      <c r="H58" s="237"/>
      <c r="I58" s="397"/>
      <c r="J58" s="278"/>
      <c r="K58" s="237"/>
      <c r="L58" s="397"/>
      <c r="M58" s="595"/>
      <c r="N58" s="2"/>
    </row>
    <row r="59" spans="2:14" ht="12" customHeight="1" x14ac:dyDescent="0.15">
      <c r="B59" s="28">
        <f t="shared" si="0"/>
        <v>46</v>
      </c>
      <c r="C59" s="592" t="s">
        <v>128</v>
      </c>
      <c r="D59" s="593"/>
      <c r="E59" s="11" t="s">
        <v>97</v>
      </c>
      <c r="F59" s="173" t="s">
        <v>325</v>
      </c>
      <c r="G59" s="269">
        <v>0.6</v>
      </c>
      <c r="H59" s="366">
        <v>0.8</v>
      </c>
      <c r="I59" s="393" t="s">
        <v>325</v>
      </c>
      <c r="J59" s="452">
        <f>IF(MAXA(F59:I59)&lt;0.3,"&lt;0.3",MAXA(F59:I59))</f>
        <v>0.8</v>
      </c>
      <c r="K59" s="91" t="str">
        <f>IF(MINA(F59:I59)&lt;0.3,"&lt;0.3",MINA(F59:I59))</f>
        <v>&lt;0.3</v>
      </c>
      <c r="L59" s="395">
        <f>IF(AVERAGEA(F59:I59)&lt;0.3,"&lt;0.3",AVERAGEA(F59:I59))</f>
        <v>0.35</v>
      </c>
      <c r="M59" s="595" t="s">
        <v>63</v>
      </c>
      <c r="N59" s="2"/>
    </row>
    <row r="60" spans="2:14" ht="12" customHeight="1" x14ac:dyDescent="0.15">
      <c r="B60" s="19">
        <f t="shared" si="0"/>
        <v>47</v>
      </c>
      <c r="C60" s="592" t="s">
        <v>54</v>
      </c>
      <c r="D60" s="593"/>
      <c r="E60" s="11" t="s">
        <v>68</v>
      </c>
      <c r="F60" s="170"/>
      <c r="G60" s="91"/>
      <c r="H60" s="91"/>
      <c r="I60" s="395"/>
      <c r="J60" s="452"/>
      <c r="K60" s="91"/>
      <c r="L60" s="395"/>
      <c r="M60" s="595"/>
      <c r="N60" s="2"/>
    </row>
    <row r="61" spans="2:14" ht="12" customHeight="1" x14ac:dyDescent="0.15">
      <c r="B61" s="19">
        <f t="shared" si="0"/>
        <v>48</v>
      </c>
      <c r="C61" s="592" t="s">
        <v>55</v>
      </c>
      <c r="D61" s="593"/>
      <c r="E61" s="11" t="s">
        <v>121</v>
      </c>
      <c r="F61" s="171"/>
      <c r="G61" s="234"/>
      <c r="H61" s="234"/>
      <c r="I61" s="392"/>
      <c r="J61" s="186"/>
      <c r="K61" s="234"/>
      <c r="L61" s="392"/>
      <c r="M61" s="595"/>
      <c r="N61" s="2"/>
    </row>
    <row r="62" spans="2:14" ht="12" customHeight="1" x14ac:dyDescent="0.15">
      <c r="B62" s="19">
        <f t="shared" si="0"/>
        <v>49</v>
      </c>
      <c r="C62" s="592" t="s">
        <v>56</v>
      </c>
      <c r="D62" s="593"/>
      <c r="E62" s="11" t="s">
        <v>121</v>
      </c>
      <c r="F62" s="171"/>
      <c r="G62" s="234"/>
      <c r="H62" s="234"/>
      <c r="I62" s="392"/>
      <c r="J62" s="186"/>
      <c r="K62" s="234"/>
      <c r="L62" s="392"/>
      <c r="M62" s="595"/>
      <c r="N62" s="2"/>
    </row>
    <row r="63" spans="2:14" ht="12" customHeight="1" x14ac:dyDescent="0.15">
      <c r="B63" s="19">
        <f t="shared" si="0"/>
        <v>50</v>
      </c>
      <c r="C63" s="592" t="s">
        <v>57</v>
      </c>
      <c r="D63" s="593"/>
      <c r="E63" s="11" t="s">
        <v>119</v>
      </c>
      <c r="F63" s="170" t="s">
        <v>326</v>
      </c>
      <c r="G63" s="91">
        <v>0.9</v>
      </c>
      <c r="H63" s="91">
        <v>0.9</v>
      </c>
      <c r="I63" s="393" t="s">
        <v>326</v>
      </c>
      <c r="J63" s="452">
        <f>IF(MAXA(F63:I63)&lt;0.5,"&lt;0.5",MAXA(F63:I63))</f>
        <v>0.9</v>
      </c>
      <c r="K63" s="91" t="str">
        <f>IF(MINA(F63:I63)&lt;0.5,"&lt;0.5",MINA(F63:I63))</f>
        <v>&lt;0.5</v>
      </c>
      <c r="L63" s="395" t="str">
        <f>IF(AVERAGEA(F63:I63)&lt;0.5,"&lt;0.5",AVERAGEA(F63:I63))</f>
        <v>&lt;0.5</v>
      </c>
      <c r="M63" s="595"/>
      <c r="N63" s="2"/>
    </row>
    <row r="64" spans="2:14" ht="12" customHeight="1" thickBot="1" x14ac:dyDescent="0.2">
      <c r="B64" s="24">
        <f t="shared" si="0"/>
        <v>51</v>
      </c>
      <c r="C64" s="606" t="s">
        <v>58</v>
      </c>
      <c r="D64" s="607"/>
      <c r="E64" s="25" t="s">
        <v>120</v>
      </c>
      <c r="F64" s="170">
        <v>0.2</v>
      </c>
      <c r="G64" s="300">
        <v>0.1</v>
      </c>
      <c r="H64" s="300">
        <v>0.1</v>
      </c>
      <c r="I64" s="464">
        <v>0.2</v>
      </c>
      <c r="J64" s="455">
        <f>IF(MAXA(F64:I64)&lt;0.1,"&lt;0.1",MAXA(F64:I64))</f>
        <v>0.2</v>
      </c>
      <c r="K64" s="456">
        <f>IF(MINA(F64:I64)&lt;0.1,"&lt;0.1",MINA(F64:I64))</f>
        <v>0.1</v>
      </c>
      <c r="L64" s="399">
        <f>IF(AVERAGEA(F64:I64)&lt;0.1,"&lt;0.1",AVERAGEA(F64:I64))</f>
        <v>0.15000000000000002</v>
      </c>
      <c r="M64" s="599"/>
      <c r="N64" s="2"/>
    </row>
    <row r="65" spans="2:14" ht="15" customHeight="1" thickBot="1" x14ac:dyDescent="0.2">
      <c r="B65" s="603" t="s">
        <v>127</v>
      </c>
      <c r="C65" s="604"/>
      <c r="D65" s="604"/>
      <c r="E65" s="605"/>
      <c r="F65" s="166" t="s">
        <v>281</v>
      </c>
      <c r="G65" s="215" t="s">
        <v>196</v>
      </c>
      <c r="H65" s="215" t="s">
        <v>196</v>
      </c>
      <c r="I65" s="402" t="s">
        <v>196</v>
      </c>
      <c r="K65" s="5"/>
      <c r="L65" s="104"/>
      <c r="N65" s="2"/>
    </row>
    <row r="66" spans="2:14" ht="12" customHeight="1" x14ac:dyDescent="0.15">
      <c r="C66" s="1"/>
      <c r="D66" s="1"/>
      <c r="E66" s="4"/>
      <c r="F66" s="4"/>
      <c r="G66" s="4"/>
      <c r="H66" s="4"/>
      <c r="I66" s="4"/>
      <c r="J66" s="4"/>
      <c r="K66" s="4"/>
      <c r="L66" s="4"/>
      <c r="N66" s="4"/>
    </row>
    <row r="67" spans="2:14" ht="12" customHeight="1" x14ac:dyDescent="0.15">
      <c r="B67" s="1"/>
      <c r="C67" s="3" t="s">
        <v>495</v>
      </c>
      <c r="D67" s="27"/>
      <c r="E67" s="27"/>
      <c r="F67" s="27"/>
      <c r="G67" s="27"/>
      <c r="H67" s="1"/>
      <c r="I67" s="1"/>
      <c r="J67" s="4"/>
      <c r="K67" s="1"/>
      <c r="L67" s="4"/>
      <c r="M67" s="1"/>
    </row>
    <row r="68" spans="2:14" ht="10.5" customHeight="1" x14ac:dyDescent="0.15">
      <c r="C68" s="27"/>
      <c r="D68" s="27"/>
      <c r="E68" s="27"/>
      <c r="F68" s="27"/>
      <c r="G68" s="27"/>
    </row>
    <row r="69" spans="2:14" ht="10.5" customHeight="1" x14ac:dyDescent="0.15"/>
    <row r="70" spans="2:14" ht="10.5" customHeight="1" x14ac:dyDescent="0.15"/>
    <row r="71" spans="2:14" ht="10.5" customHeight="1" x14ac:dyDescent="0.15"/>
    <row r="72" spans="2:14" ht="10.5" customHeight="1" x14ac:dyDescent="0.15"/>
    <row r="73" spans="2:14" ht="10.5" customHeight="1" x14ac:dyDescent="0.15"/>
    <row r="74" spans="2:14" ht="10.5" customHeight="1" x14ac:dyDescent="0.15"/>
    <row r="75" spans="2:14" ht="10.5" customHeight="1" x14ac:dyDescent="0.15"/>
    <row r="76" spans="2:14" ht="10.5" customHeight="1" x14ac:dyDescent="0.15"/>
    <row r="77" spans="2:14" ht="10.5" customHeight="1" x14ac:dyDescent="0.15"/>
    <row r="78" spans="2:14" ht="10.5" customHeight="1" x14ac:dyDescent="0.15"/>
    <row r="79" spans="2:14" ht="15" customHeight="1" x14ac:dyDescent="0.15"/>
    <row r="80" spans="2:14" ht="5.45" customHeight="1" x14ac:dyDescent="0.15"/>
  </sheetData>
  <mergeCells count="80">
    <mergeCell ref="B1:H1"/>
    <mergeCell ref="G3:K3"/>
    <mergeCell ref="B4:C4"/>
    <mergeCell ref="G4:K4"/>
    <mergeCell ref="B6:C12"/>
    <mergeCell ref="D6:E6"/>
    <mergeCell ref="J6:J9"/>
    <mergeCell ref="K6:K9"/>
    <mergeCell ref="L6:L9"/>
    <mergeCell ref="M6:M12"/>
    <mergeCell ref="D7:E7"/>
    <mergeCell ref="D8:E8"/>
    <mergeCell ref="D9:E9"/>
    <mergeCell ref="D10:E10"/>
    <mergeCell ref="D11:E11"/>
    <mergeCell ref="D12:E12"/>
    <mergeCell ref="B13:D13"/>
    <mergeCell ref="F13:I13"/>
    <mergeCell ref="J13:L13"/>
    <mergeCell ref="C14:D14"/>
    <mergeCell ref="M14:M15"/>
    <mergeCell ref="C15:D15"/>
    <mergeCell ref="M22:M26"/>
    <mergeCell ref="C16:D16"/>
    <mergeCell ref="M16:M21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M27:M33"/>
    <mergeCell ref="C28:D28"/>
    <mergeCell ref="C29:D29"/>
    <mergeCell ref="C30:D30"/>
    <mergeCell ref="C31:D31"/>
    <mergeCell ref="C32:D32"/>
    <mergeCell ref="C33:D33"/>
    <mergeCell ref="C34:D34"/>
    <mergeCell ref="M34:M4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9:D49"/>
    <mergeCell ref="C50:D50"/>
    <mergeCell ref="C51:D51"/>
    <mergeCell ref="C52:D52"/>
    <mergeCell ref="M52:M53"/>
    <mergeCell ref="C53:D53"/>
    <mergeCell ref="M45:M50"/>
    <mergeCell ref="C45:D45"/>
    <mergeCell ref="C46:D46"/>
    <mergeCell ref="C47:D47"/>
    <mergeCell ref="C48:D48"/>
    <mergeCell ref="C54:D54"/>
    <mergeCell ref="M54:M58"/>
    <mergeCell ref="C55:D55"/>
    <mergeCell ref="C56:D56"/>
    <mergeCell ref="C57:D57"/>
    <mergeCell ref="C58:D58"/>
    <mergeCell ref="B65:E65"/>
    <mergeCell ref="C59:D59"/>
    <mergeCell ref="M59:M64"/>
    <mergeCell ref="C60:D60"/>
    <mergeCell ref="C61:D61"/>
    <mergeCell ref="C62:D62"/>
    <mergeCell ref="C63:D63"/>
    <mergeCell ref="C64:D64"/>
  </mergeCells>
  <phoneticPr fontId="4"/>
  <pageMargins left="0.7" right="0.7" top="0.75" bottom="0.75" header="0.3" footer="0.3"/>
  <pageSetup paperSize="9" scale="8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3"/>
  <dimension ref="B1:N80"/>
  <sheetViews>
    <sheetView zoomScaleNormal="100" zoomScaleSheetLayoutView="120" workbookViewId="0"/>
  </sheetViews>
  <sheetFormatPr defaultColWidth="8.875" defaultRowHeight="10.5" x14ac:dyDescent="0.15"/>
  <cols>
    <col min="1" max="1" width="1.75" style="3" customWidth="1"/>
    <col min="2" max="2" width="3.125" style="3" customWidth="1"/>
    <col min="3" max="3" width="8.875" style="3" customWidth="1"/>
    <col min="4" max="4" width="14.25" style="3" customWidth="1"/>
    <col min="5" max="5" width="12.125" style="3" customWidth="1"/>
    <col min="6" max="12" width="7.5" style="3" customWidth="1"/>
    <col min="13" max="13" width="12.75" style="4" customWidth="1"/>
    <col min="14" max="14" width="3.5" style="3" customWidth="1"/>
    <col min="15" max="16384" width="8.875" style="3"/>
  </cols>
  <sheetData>
    <row r="1" spans="2:14" ht="20.100000000000001" customHeight="1" x14ac:dyDescent="0.15">
      <c r="B1" s="551" t="s">
        <v>685</v>
      </c>
      <c r="C1" s="551"/>
      <c r="D1" s="551"/>
      <c r="E1" s="551"/>
      <c r="F1" s="551"/>
      <c r="G1" s="551"/>
      <c r="H1" s="551"/>
    </row>
    <row r="2" spans="2:14" ht="12" customHeight="1" thickBot="1" x14ac:dyDescent="0.2">
      <c r="C2" s="16"/>
    </row>
    <row r="3" spans="2:14" ht="16.899999999999999" customHeight="1" thickBot="1" x14ac:dyDescent="0.2">
      <c r="B3" s="4"/>
      <c r="C3" s="10"/>
      <c r="D3" s="12"/>
      <c r="E3" s="4"/>
      <c r="F3" s="41" t="s">
        <v>7</v>
      </c>
      <c r="G3" s="639" t="s">
        <v>8</v>
      </c>
      <c r="H3" s="639"/>
      <c r="I3" s="639"/>
      <c r="J3" s="639"/>
      <c r="K3" s="639"/>
      <c r="L3" s="4"/>
      <c r="N3" s="4"/>
    </row>
    <row r="4" spans="2:14" ht="16.899999999999999" customHeight="1" thickBot="1" x14ac:dyDescent="0.2">
      <c r="B4" s="620" t="s">
        <v>23</v>
      </c>
      <c r="C4" s="621"/>
      <c r="D4" s="31" t="s">
        <v>273</v>
      </c>
      <c r="E4" s="4"/>
      <c r="F4" s="42"/>
      <c r="G4" s="646" t="s">
        <v>275</v>
      </c>
      <c r="H4" s="646"/>
      <c r="I4" s="646"/>
      <c r="J4" s="646"/>
      <c r="K4" s="646"/>
      <c r="L4" s="4"/>
      <c r="N4" s="4"/>
    </row>
    <row r="5" spans="2:14" ht="10.15" customHeight="1" thickBot="1" x14ac:dyDescent="0.2">
      <c r="B5" s="4"/>
      <c r="C5" s="4"/>
      <c r="D5" s="4"/>
      <c r="E5" s="4"/>
      <c r="F5" s="4"/>
      <c r="G5" s="4"/>
      <c r="H5" s="4"/>
      <c r="I5" s="4"/>
      <c r="J5" s="4"/>
      <c r="K5" s="4"/>
      <c r="L5" s="4"/>
      <c r="N5" s="4"/>
    </row>
    <row r="6" spans="2:14" ht="12" customHeight="1" x14ac:dyDescent="0.15">
      <c r="B6" s="624" t="s">
        <v>124</v>
      </c>
      <c r="C6" s="625"/>
      <c r="D6" s="628" t="s">
        <v>9</v>
      </c>
      <c r="E6" s="629"/>
      <c r="F6" s="167">
        <v>45028</v>
      </c>
      <c r="G6" s="233">
        <v>45112</v>
      </c>
      <c r="H6" s="374">
        <v>45203</v>
      </c>
      <c r="I6" s="405">
        <v>45301</v>
      </c>
      <c r="J6" s="568" t="s">
        <v>0</v>
      </c>
      <c r="K6" s="643" t="s">
        <v>1</v>
      </c>
      <c r="L6" s="574" t="s">
        <v>2</v>
      </c>
      <c r="M6" s="577" t="s">
        <v>15</v>
      </c>
      <c r="N6" s="4"/>
    </row>
    <row r="7" spans="2:14" ht="12" customHeight="1" x14ac:dyDescent="0.15">
      <c r="B7" s="626"/>
      <c r="C7" s="627"/>
      <c r="D7" s="622" t="s">
        <v>14</v>
      </c>
      <c r="E7" s="623"/>
      <c r="F7" s="199">
        <v>0.37847222222222227</v>
      </c>
      <c r="G7" s="169">
        <v>0.38263888888888892</v>
      </c>
      <c r="H7" s="375">
        <v>0.3833333333333333</v>
      </c>
      <c r="I7" s="406">
        <v>0.38125000000000003</v>
      </c>
      <c r="J7" s="749"/>
      <c r="K7" s="644"/>
      <c r="L7" s="647"/>
      <c r="M7" s="578"/>
      <c r="N7" s="4"/>
    </row>
    <row r="8" spans="2:14" ht="12" customHeight="1" x14ac:dyDescent="0.15">
      <c r="B8" s="626"/>
      <c r="C8" s="627"/>
      <c r="D8" s="622" t="s">
        <v>10</v>
      </c>
      <c r="E8" s="623"/>
      <c r="F8" s="169" t="s">
        <v>466</v>
      </c>
      <c r="G8" s="169" t="s">
        <v>302</v>
      </c>
      <c r="H8" s="363" t="s">
        <v>580</v>
      </c>
      <c r="I8" s="449" t="s">
        <v>557</v>
      </c>
      <c r="J8" s="749"/>
      <c r="K8" s="644"/>
      <c r="L8" s="647"/>
      <c r="M8" s="578"/>
      <c r="N8" s="4"/>
    </row>
    <row r="9" spans="2:14" ht="12" customHeight="1" x14ac:dyDescent="0.15">
      <c r="B9" s="626"/>
      <c r="C9" s="627"/>
      <c r="D9" s="649" t="s">
        <v>11</v>
      </c>
      <c r="E9" s="650"/>
      <c r="F9" s="169" t="s">
        <v>525</v>
      </c>
      <c r="G9" s="169" t="s">
        <v>466</v>
      </c>
      <c r="H9" s="363" t="s">
        <v>302</v>
      </c>
      <c r="I9" s="449" t="s">
        <v>557</v>
      </c>
      <c r="J9" s="675"/>
      <c r="K9" s="645"/>
      <c r="L9" s="648"/>
      <c r="M9" s="744"/>
      <c r="N9" s="83"/>
    </row>
    <row r="10" spans="2:14" ht="12" customHeight="1" x14ac:dyDescent="0.15">
      <c r="B10" s="626"/>
      <c r="C10" s="627"/>
      <c r="D10" s="649" t="s">
        <v>12</v>
      </c>
      <c r="E10" s="650"/>
      <c r="F10" s="170">
        <v>10.3</v>
      </c>
      <c r="G10" s="91">
        <v>23.7</v>
      </c>
      <c r="H10" s="366">
        <v>19</v>
      </c>
      <c r="I10" s="395">
        <v>0.5</v>
      </c>
      <c r="J10" s="170">
        <f>MAX(F10:I10)</f>
        <v>23.7</v>
      </c>
      <c r="K10" s="451">
        <f>MIN(F10:I10)</f>
        <v>0.5</v>
      </c>
      <c r="L10" s="395">
        <f>AVERAGEA(F10:I10)</f>
        <v>13.375</v>
      </c>
      <c r="M10" s="744"/>
      <c r="N10" s="83"/>
    </row>
    <row r="11" spans="2:14" ht="12" customHeight="1" x14ac:dyDescent="0.15">
      <c r="B11" s="626"/>
      <c r="C11" s="627"/>
      <c r="D11" s="649" t="s">
        <v>263</v>
      </c>
      <c r="E11" s="650"/>
      <c r="F11" s="170">
        <v>7.4</v>
      </c>
      <c r="G11" s="91">
        <v>18.8</v>
      </c>
      <c r="H11" s="366">
        <v>19</v>
      </c>
      <c r="I11" s="395">
        <v>5.4</v>
      </c>
      <c r="J11" s="170">
        <f>MAX(F11:I11)</f>
        <v>19</v>
      </c>
      <c r="K11" s="451">
        <f>MIN(F11:I11)</f>
        <v>5.4</v>
      </c>
      <c r="L11" s="395">
        <f>AVERAGEA(F11:I11)</f>
        <v>12.65</v>
      </c>
      <c r="M11" s="744"/>
      <c r="N11" s="83"/>
    </row>
    <row r="12" spans="2:14" ht="12" customHeight="1" thickBot="1" x14ac:dyDescent="0.2">
      <c r="B12" s="747"/>
      <c r="C12" s="748"/>
      <c r="D12" s="745" t="s">
        <v>4</v>
      </c>
      <c r="E12" s="746"/>
      <c r="F12" s="197">
        <v>0.48</v>
      </c>
      <c r="G12" s="247">
        <v>0.65</v>
      </c>
      <c r="H12" s="372">
        <v>0.6</v>
      </c>
      <c r="I12" s="463">
        <v>0.46</v>
      </c>
      <c r="J12" s="458">
        <f>MAX(F12:I12)</f>
        <v>0.65</v>
      </c>
      <c r="K12" s="457">
        <f>MIN(F12:I12)</f>
        <v>0.46</v>
      </c>
      <c r="L12" s="463">
        <f>AVERAGEA(F12:I12)</f>
        <v>0.54749999999999999</v>
      </c>
      <c r="M12" s="579"/>
      <c r="N12" s="4"/>
    </row>
    <row r="13" spans="2:14" ht="15" customHeight="1" x14ac:dyDescent="0.15">
      <c r="B13" s="584" t="s">
        <v>125</v>
      </c>
      <c r="C13" s="585"/>
      <c r="D13" s="585"/>
      <c r="E13" s="32" t="s">
        <v>64</v>
      </c>
      <c r="F13" s="587" t="s">
        <v>3</v>
      </c>
      <c r="G13" s="585"/>
      <c r="H13" s="585"/>
      <c r="I13" s="588"/>
      <c r="J13" s="589"/>
      <c r="K13" s="590"/>
      <c r="L13" s="591"/>
      <c r="M13" s="29"/>
      <c r="N13" s="4"/>
    </row>
    <row r="14" spans="2:14" ht="12" customHeight="1" x14ac:dyDescent="0.15">
      <c r="B14" s="19">
        <v>1</v>
      </c>
      <c r="C14" s="592" t="s">
        <v>24</v>
      </c>
      <c r="D14" s="593"/>
      <c r="E14" s="11" t="s">
        <v>105</v>
      </c>
      <c r="F14" s="171"/>
      <c r="G14" s="234"/>
      <c r="H14" s="234"/>
      <c r="I14" s="392"/>
      <c r="J14" s="308"/>
      <c r="K14" s="358"/>
      <c r="L14" s="418"/>
      <c r="M14" s="594" t="s">
        <v>59</v>
      </c>
      <c r="N14" s="2"/>
    </row>
    <row r="15" spans="2:14" ht="12" customHeight="1" x14ac:dyDescent="0.15">
      <c r="B15" s="19">
        <v>2</v>
      </c>
      <c r="C15" s="592" t="s">
        <v>25</v>
      </c>
      <c r="D15" s="593"/>
      <c r="E15" s="15" t="s">
        <v>114</v>
      </c>
      <c r="F15" s="164"/>
      <c r="G15" s="172"/>
      <c r="H15" s="363"/>
      <c r="I15" s="449"/>
      <c r="J15" s="454"/>
      <c r="K15" s="447"/>
      <c r="L15" s="449"/>
      <c r="M15" s="578"/>
      <c r="N15" s="2"/>
    </row>
    <row r="16" spans="2:14" ht="12" customHeight="1" x14ac:dyDescent="0.15">
      <c r="B16" s="19">
        <v>3</v>
      </c>
      <c r="C16" s="592" t="s">
        <v>26</v>
      </c>
      <c r="D16" s="593"/>
      <c r="E16" s="11" t="s">
        <v>209</v>
      </c>
      <c r="F16" s="173"/>
      <c r="G16" s="179"/>
      <c r="H16" s="179"/>
      <c r="I16" s="393"/>
      <c r="J16" s="239"/>
      <c r="K16" s="179"/>
      <c r="L16" s="393"/>
      <c r="M16" s="595" t="s">
        <v>60</v>
      </c>
      <c r="N16" s="2"/>
    </row>
    <row r="17" spans="2:14" ht="12" customHeight="1" x14ac:dyDescent="0.15">
      <c r="B17" s="19">
        <v>4</v>
      </c>
      <c r="C17" s="592" t="s">
        <v>27</v>
      </c>
      <c r="D17" s="593"/>
      <c r="E17" s="11" t="s">
        <v>106</v>
      </c>
      <c r="F17" s="174"/>
      <c r="G17" s="235"/>
      <c r="H17" s="235"/>
      <c r="I17" s="394"/>
      <c r="J17" s="276"/>
      <c r="K17" s="235"/>
      <c r="L17" s="394"/>
      <c r="M17" s="595"/>
      <c r="N17" s="2"/>
    </row>
    <row r="18" spans="2:14" ht="12" customHeight="1" x14ac:dyDescent="0.15">
      <c r="B18" s="19">
        <v>5</v>
      </c>
      <c r="C18" s="592" t="s">
        <v>28</v>
      </c>
      <c r="D18" s="593"/>
      <c r="E18" s="11" t="s">
        <v>93</v>
      </c>
      <c r="F18" s="173"/>
      <c r="G18" s="179"/>
      <c r="H18" s="179"/>
      <c r="I18" s="393"/>
      <c r="J18" s="239"/>
      <c r="K18" s="179"/>
      <c r="L18" s="393"/>
      <c r="M18" s="595"/>
      <c r="N18" s="2"/>
    </row>
    <row r="19" spans="2:14" ht="12" customHeight="1" x14ac:dyDescent="0.15">
      <c r="B19" s="19">
        <v>6</v>
      </c>
      <c r="C19" s="592" t="s">
        <v>29</v>
      </c>
      <c r="D19" s="593"/>
      <c r="E19" s="11" t="s">
        <v>93</v>
      </c>
      <c r="F19" s="173"/>
      <c r="G19" s="179"/>
      <c r="H19" s="179"/>
      <c r="I19" s="393"/>
      <c r="J19" s="239"/>
      <c r="K19" s="179"/>
      <c r="L19" s="393"/>
      <c r="M19" s="595"/>
      <c r="N19" s="2"/>
    </row>
    <row r="20" spans="2:14" ht="12" customHeight="1" x14ac:dyDescent="0.15">
      <c r="B20" s="19">
        <v>7</v>
      </c>
      <c r="C20" s="592" t="s">
        <v>30</v>
      </c>
      <c r="D20" s="593"/>
      <c r="E20" s="11" t="s">
        <v>93</v>
      </c>
      <c r="F20" s="173"/>
      <c r="G20" s="179"/>
      <c r="H20" s="179"/>
      <c r="I20" s="393"/>
      <c r="J20" s="239"/>
      <c r="K20" s="179"/>
      <c r="L20" s="393"/>
      <c r="M20" s="595"/>
      <c r="N20" s="2"/>
    </row>
    <row r="21" spans="2:14" ht="12" customHeight="1" x14ac:dyDescent="0.15">
      <c r="B21" s="19">
        <v>8</v>
      </c>
      <c r="C21" s="592" t="s">
        <v>31</v>
      </c>
      <c r="D21" s="593"/>
      <c r="E21" s="11" t="s">
        <v>96</v>
      </c>
      <c r="F21" s="173"/>
      <c r="G21" s="179"/>
      <c r="H21" s="179"/>
      <c r="I21" s="393"/>
      <c r="J21" s="239"/>
      <c r="K21" s="179"/>
      <c r="L21" s="393"/>
      <c r="M21" s="595"/>
      <c r="N21" s="2"/>
    </row>
    <row r="22" spans="2:14" ht="12" customHeight="1" x14ac:dyDescent="0.15">
      <c r="B22" s="19">
        <v>9</v>
      </c>
      <c r="C22" s="592" t="s">
        <v>210</v>
      </c>
      <c r="D22" s="611"/>
      <c r="E22" s="11" t="s">
        <v>88</v>
      </c>
      <c r="F22" s="173"/>
      <c r="G22" s="179"/>
      <c r="H22" s="179"/>
      <c r="I22" s="393"/>
      <c r="J22" s="239"/>
      <c r="K22" s="179"/>
      <c r="L22" s="393"/>
      <c r="M22" s="594" t="s">
        <v>498</v>
      </c>
      <c r="N22" s="2"/>
    </row>
    <row r="23" spans="2:14" ht="12" customHeight="1" x14ac:dyDescent="0.15">
      <c r="B23" s="19">
        <v>10</v>
      </c>
      <c r="C23" s="592" t="s">
        <v>32</v>
      </c>
      <c r="D23" s="593"/>
      <c r="E23" s="11" t="s">
        <v>93</v>
      </c>
      <c r="F23" s="173"/>
      <c r="G23" s="179"/>
      <c r="H23" s="179"/>
      <c r="I23" s="393"/>
      <c r="J23" s="239"/>
      <c r="K23" s="179"/>
      <c r="L23" s="393"/>
      <c r="M23" s="578"/>
      <c r="N23" s="2"/>
    </row>
    <row r="24" spans="2:14" ht="12" customHeight="1" x14ac:dyDescent="0.15">
      <c r="B24" s="19">
        <v>11</v>
      </c>
      <c r="C24" s="592" t="s">
        <v>33</v>
      </c>
      <c r="D24" s="593"/>
      <c r="E24" s="11" t="s">
        <v>108</v>
      </c>
      <c r="F24" s="170"/>
      <c r="G24" s="91"/>
      <c r="H24" s="91"/>
      <c r="I24" s="395"/>
      <c r="J24" s="452"/>
      <c r="K24" s="91"/>
      <c r="L24" s="395"/>
      <c r="M24" s="578"/>
      <c r="N24" s="2"/>
    </row>
    <row r="25" spans="2:14" ht="12" customHeight="1" x14ac:dyDescent="0.15">
      <c r="B25" s="19">
        <v>12</v>
      </c>
      <c r="C25" s="592" t="s">
        <v>34</v>
      </c>
      <c r="D25" s="593"/>
      <c r="E25" s="11" t="s">
        <v>109</v>
      </c>
      <c r="F25" s="177"/>
      <c r="G25" s="178"/>
      <c r="H25" s="178"/>
      <c r="I25" s="396"/>
      <c r="J25" s="277"/>
      <c r="K25" s="178"/>
      <c r="L25" s="396"/>
      <c r="M25" s="578"/>
      <c r="N25" s="2"/>
    </row>
    <row r="26" spans="2:14" ht="12" customHeight="1" x14ac:dyDescent="0.15">
      <c r="B26" s="19">
        <v>13</v>
      </c>
      <c r="C26" s="592" t="s">
        <v>35</v>
      </c>
      <c r="D26" s="593"/>
      <c r="E26" s="11" t="s">
        <v>110</v>
      </c>
      <c r="F26" s="170"/>
      <c r="G26" s="91"/>
      <c r="H26" s="91"/>
      <c r="I26" s="395"/>
      <c r="J26" s="452"/>
      <c r="K26" s="91"/>
      <c r="L26" s="395"/>
      <c r="M26" s="596"/>
      <c r="N26" s="2"/>
    </row>
    <row r="27" spans="2:14" ht="12" customHeight="1" x14ac:dyDescent="0.15">
      <c r="B27" s="19">
        <v>14</v>
      </c>
      <c r="C27" s="592" t="s">
        <v>36</v>
      </c>
      <c r="D27" s="593"/>
      <c r="E27" s="11" t="s">
        <v>111</v>
      </c>
      <c r="F27" s="176"/>
      <c r="G27" s="237"/>
      <c r="H27" s="237"/>
      <c r="I27" s="397"/>
      <c r="J27" s="278"/>
      <c r="K27" s="237"/>
      <c r="L27" s="397"/>
      <c r="M27" s="595" t="s">
        <v>62</v>
      </c>
      <c r="N27" s="2"/>
    </row>
    <row r="28" spans="2:14" ht="12" customHeight="1" x14ac:dyDescent="0.15">
      <c r="B28" s="19">
        <v>15</v>
      </c>
      <c r="C28" s="592" t="s">
        <v>282</v>
      </c>
      <c r="D28" s="593"/>
      <c r="E28" s="11" t="s">
        <v>107</v>
      </c>
      <c r="F28" s="173"/>
      <c r="G28" s="179"/>
      <c r="H28" s="179"/>
      <c r="I28" s="393"/>
      <c r="J28" s="239"/>
      <c r="K28" s="179"/>
      <c r="L28" s="393"/>
      <c r="M28" s="595"/>
      <c r="N28" s="2"/>
    </row>
    <row r="29" spans="2:14" ht="24" customHeight="1" x14ac:dyDescent="0.15">
      <c r="B29" s="19">
        <v>16</v>
      </c>
      <c r="C29" s="597" t="s">
        <v>256</v>
      </c>
      <c r="D29" s="593"/>
      <c r="E29" s="11" t="s">
        <v>88</v>
      </c>
      <c r="F29" s="173"/>
      <c r="G29" s="179"/>
      <c r="H29" s="179"/>
      <c r="I29" s="393"/>
      <c r="J29" s="239"/>
      <c r="K29" s="179"/>
      <c r="L29" s="393"/>
      <c r="M29" s="595"/>
      <c r="N29" s="2"/>
    </row>
    <row r="30" spans="2:14" ht="12" customHeight="1" x14ac:dyDescent="0.15">
      <c r="B30" s="19">
        <v>17</v>
      </c>
      <c r="C30" s="592" t="s">
        <v>283</v>
      </c>
      <c r="D30" s="593"/>
      <c r="E30" s="11" t="s">
        <v>96</v>
      </c>
      <c r="F30" s="173"/>
      <c r="G30" s="179"/>
      <c r="H30" s="179"/>
      <c r="I30" s="393"/>
      <c r="J30" s="239"/>
      <c r="K30" s="179"/>
      <c r="L30" s="393"/>
      <c r="M30" s="595"/>
      <c r="N30" s="2"/>
    </row>
    <row r="31" spans="2:14" ht="12" customHeight="1" x14ac:dyDescent="0.15">
      <c r="B31" s="19">
        <v>18</v>
      </c>
      <c r="C31" s="592" t="s">
        <v>284</v>
      </c>
      <c r="D31" s="593"/>
      <c r="E31" s="11" t="s">
        <v>93</v>
      </c>
      <c r="F31" s="173"/>
      <c r="G31" s="179"/>
      <c r="H31" s="179"/>
      <c r="I31" s="393"/>
      <c r="J31" s="239"/>
      <c r="K31" s="179"/>
      <c r="L31" s="393"/>
      <c r="M31" s="595"/>
      <c r="N31" s="2"/>
    </row>
    <row r="32" spans="2:14" ht="12" customHeight="1" x14ac:dyDescent="0.15">
      <c r="B32" s="19">
        <v>19</v>
      </c>
      <c r="C32" s="592" t="s">
        <v>285</v>
      </c>
      <c r="D32" s="593"/>
      <c r="E32" s="11" t="s">
        <v>93</v>
      </c>
      <c r="F32" s="173"/>
      <c r="G32" s="179"/>
      <c r="H32" s="179"/>
      <c r="I32" s="393"/>
      <c r="J32" s="239"/>
      <c r="K32" s="179"/>
      <c r="L32" s="393"/>
      <c r="M32" s="595"/>
      <c r="N32" s="2"/>
    </row>
    <row r="33" spans="2:14" ht="12" customHeight="1" x14ac:dyDescent="0.15">
      <c r="B33" s="19">
        <v>20</v>
      </c>
      <c r="C33" s="592" t="s">
        <v>286</v>
      </c>
      <c r="D33" s="593"/>
      <c r="E33" s="11" t="s">
        <v>93</v>
      </c>
      <c r="F33" s="173"/>
      <c r="G33" s="179"/>
      <c r="H33" s="179"/>
      <c r="I33" s="393"/>
      <c r="J33" s="239"/>
      <c r="K33" s="179"/>
      <c r="L33" s="393"/>
      <c r="M33" s="595"/>
      <c r="N33" s="2"/>
    </row>
    <row r="34" spans="2:14" ht="12" customHeight="1" x14ac:dyDescent="0.15">
      <c r="B34" s="19">
        <v>21</v>
      </c>
      <c r="C34" s="592" t="s">
        <v>252</v>
      </c>
      <c r="D34" s="593"/>
      <c r="E34" s="11" t="s">
        <v>91</v>
      </c>
      <c r="F34" s="175" t="s">
        <v>322</v>
      </c>
      <c r="G34" s="178" t="s">
        <v>322</v>
      </c>
      <c r="H34" s="178" t="s">
        <v>596</v>
      </c>
      <c r="I34" s="393" t="s">
        <v>322</v>
      </c>
      <c r="J34" s="277" t="str">
        <f>IF(MAXA(F34:I34)&lt;0.06,"&lt;0.06",MAXA(F34:I34))</f>
        <v>&lt;0.06</v>
      </c>
      <c r="K34" s="179" t="str">
        <f>IF(MINA(F34:I34)&lt;0.06,"&lt;0.06",MINA(F34:I34))</f>
        <v>&lt;0.06</v>
      </c>
      <c r="L34" s="393" t="str">
        <f>IF(AVERAGEA(F34:I34)&lt;0.06,"&lt;0.06",AVERAGEA(F34:I34))</f>
        <v>&lt;0.06</v>
      </c>
      <c r="M34" s="594" t="s">
        <v>61</v>
      </c>
      <c r="N34" s="2"/>
    </row>
    <row r="35" spans="2:14" ht="12" customHeight="1" x14ac:dyDescent="0.15">
      <c r="B35" s="19">
        <v>22</v>
      </c>
      <c r="C35" s="592" t="s">
        <v>37</v>
      </c>
      <c r="D35" s="593"/>
      <c r="E35" s="11" t="s">
        <v>96</v>
      </c>
      <c r="F35" s="175" t="s">
        <v>509</v>
      </c>
      <c r="G35" s="179" t="s">
        <v>307</v>
      </c>
      <c r="H35" s="179" t="s">
        <v>307</v>
      </c>
      <c r="I35" s="393" t="s">
        <v>307</v>
      </c>
      <c r="J35" s="239" t="str">
        <f>IF(MAXA(F35:I35)&lt;0.002,"&lt;0.002",MAXA(F35:I35))</f>
        <v>&lt;0.002</v>
      </c>
      <c r="K35" s="179" t="str">
        <f>IF(MINA(F35:I35)&lt;0.002,"&lt;0.002",MINA(F35:I35))</f>
        <v>&lt;0.002</v>
      </c>
      <c r="L35" s="393" t="str">
        <f>IF(AVERAGEA(F35:I35)&lt;0.002,"&lt;0.002",AVERAGEA(F35:I35))</f>
        <v>&lt;0.002</v>
      </c>
      <c r="M35" s="578"/>
      <c r="N35" s="2"/>
    </row>
    <row r="36" spans="2:14" ht="12" customHeight="1" x14ac:dyDescent="0.15">
      <c r="B36" s="19">
        <v>23</v>
      </c>
      <c r="C36" s="592" t="s">
        <v>287</v>
      </c>
      <c r="D36" s="593"/>
      <c r="E36" s="11" t="s">
        <v>113</v>
      </c>
      <c r="F36" s="175">
        <v>1E-3</v>
      </c>
      <c r="G36" s="179">
        <v>3.0000000000000001E-3</v>
      </c>
      <c r="H36" s="179">
        <v>7.0000000000000001E-3</v>
      </c>
      <c r="I36" s="393" t="s">
        <v>306</v>
      </c>
      <c r="J36" s="239">
        <f>IF(MAXA(F36:I36)&lt;0.001,"&lt;0.001",MAXA(F36:I36))</f>
        <v>7.0000000000000001E-3</v>
      </c>
      <c r="K36" s="179" t="str">
        <f>IF(MINA(F36:I36)&lt;0.001,"&lt;0.001",MINA(F36:I36))</f>
        <v>&lt;0.001</v>
      </c>
      <c r="L36" s="393">
        <f>IF(AVERAGEA(F36:I36)&lt;0.001,"&lt;0.001",AVERAGEA(F36:I36))</f>
        <v>2.7499999999999998E-3</v>
      </c>
      <c r="M36" s="578"/>
      <c r="N36" s="2"/>
    </row>
    <row r="37" spans="2:14" ht="12" customHeight="1" x14ac:dyDescent="0.15">
      <c r="B37" s="19">
        <v>24</v>
      </c>
      <c r="C37" s="592" t="s">
        <v>38</v>
      </c>
      <c r="D37" s="593"/>
      <c r="E37" s="11" t="s">
        <v>112</v>
      </c>
      <c r="F37" s="175" t="s">
        <v>323</v>
      </c>
      <c r="G37" s="179">
        <v>5.0000000000000001E-3</v>
      </c>
      <c r="H37" s="179">
        <v>8.0000000000000002E-3</v>
      </c>
      <c r="I37" s="393" t="s">
        <v>323</v>
      </c>
      <c r="J37" s="239">
        <f>IF(MAXA(F37:I37)&lt;0.003,"&lt;0.003",MAXA(F37:I37))</f>
        <v>8.0000000000000002E-3</v>
      </c>
      <c r="K37" s="179" t="str">
        <f>IF(MINA(F37:I37)&lt;0.003,"&lt;0.003",MINA(F37:I37))</f>
        <v>&lt;0.003</v>
      </c>
      <c r="L37" s="393">
        <f>IF(AVERAGEA(F37:I37)&lt;0.003,"&lt;0.003",AVERAGEA(F37:I37))</f>
        <v>3.2500000000000003E-3</v>
      </c>
      <c r="M37" s="578"/>
      <c r="N37" s="2"/>
    </row>
    <row r="38" spans="2:14" ht="12" customHeight="1" x14ac:dyDescent="0.15">
      <c r="B38" s="19">
        <v>25</v>
      </c>
      <c r="C38" s="592" t="s">
        <v>288</v>
      </c>
      <c r="D38" s="593"/>
      <c r="E38" s="11" t="s">
        <v>90</v>
      </c>
      <c r="F38" s="175" t="s">
        <v>306</v>
      </c>
      <c r="G38" s="179">
        <v>1E-3</v>
      </c>
      <c r="H38" s="179" t="s">
        <v>306</v>
      </c>
      <c r="I38" s="393" t="s">
        <v>306</v>
      </c>
      <c r="J38" s="239">
        <f>IF(MAXA(F38:I38)&lt;0.001,"&lt;0.001",MAXA(F38:I38))</f>
        <v>1E-3</v>
      </c>
      <c r="K38" s="179" t="str">
        <f>IF(MINA(F38:I38)&lt;0.001,"&lt;0.001",MINA(F38:I38))</f>
        <v>&lt;0.001</v>
      </c>
      <c r="L38" s="393" t="str">
        <f>IF(AVERAGEA(F38:I38)&lt;0.001,"&lt;0.001",AVERAGEA(F38:I38))</f>
        <v>&lt;0.001</v>
      </c>
      <c r="M38" s="578"/>
      <c r="N38" s="2"/>
    </row>
    <row r="39" spans="2:14" ht="12" customHeight="1" x14ac:dyDescent="0.15">
      <c r="B39" s="19">
        <v>26</v>
      </c>
      <c r="C39" s="592" t="s">
        <v>39</v>
      </c>
      <c r="D39" s="593"/>
      <c r="E39" s="11" t="s">
        <v>93</v>
      </c>
      <c r="F39" s="175" t="s">
        <v>306</v>
      </c>
      <c r="G39" s="179" t="s">
        <v>306</v>
      </c>
      <c r="H39" s="179" t="s">
        <v>306</v>
      </c>
      <c r="I39" s="393" t="s">
        <v>306</v>
      </c>
      <c r="J39" s="239" t="str">
        <f>IF(MAXA(F39:I39)&lt;0.001,"&lt;0.001",MAXA(F39:I39))</f>
        <v>&lt;0.001</v>
      </c>
      <c r="K39" s="179" t="str">
        <f>IF(MINA(F39:I39)&lt;0.001,"&lt;0.001",MINA(F39:I39))</f>
        <v>&lt;0.001</v>
      </c>
      <c r="L39" s="393" t="str">
        <f>IF(AVERAGEA(F39:I39)&lt;0.001,"&lt;0.001",AVERAGEA(F39:I39))</f>
        <v>&lt;0.001</v>
      </c>
      <c r="M39" s="578"/>
      <c r="N39" s="2"/>
    </row>
    <row r="40" spans="2:14" ht="12" customHeight="1" x14ac:dyDescent="0.15">
      <c r="B40" s="19">
        <v>27</v>
      </c>
      <c r="C40" s="592" t="s">
        <v>40</v>
      </c>
      <c r="D40" s="593"/>
      <c r="E40" s="11" t="s">
        <v>90</v>
      </c>
      <c r="F40" s="175" t="s">
        <v>308</v>
      </c>
      <c r="G40" s="179">
        <v>7.0000000000000001E-3</v>
      </c>
      <c r="H40" s="179">
        <v>1.0999999999999999E-2</v>
      </c>
      <c r="I40" s="393" t="s">
        <v>308</v>
      </c>
      <c r="J40" s="239">
        <f>IF(MAXA(F40:I40)&lt;0.004,"&lt;0.004",MAXA(F40:I40))</f>
        <v>1.0999999999999999E-2</v>
      </c>
      <c r="K40" s="179" t="str">
        <f>IF(MINA(F40:I40)&lt;0.004,"&lt;0.004",MINA(F40:I40))</f>
        <v>&lt;0.004</v>
      </c>
      <c r="L40" s="393">
        <f>IF(AVERAGEA(F40:I40)&lt;0.004,"&lt;0.004",AVERAGEA(F40:I40))</f>
        <v>4.4999999999999997E-3</v>
      </c>
      <c r="M40" s="578"/>
      <c r="N40" s="2"/>
    </row>
    <row r="41" spans="2:14" ht="12" customHeight="1" x14ac:dyDescent="0.15">
      <c r="B41" s="19">
        <v>28</v>
      </c>
      <c r="C41" s="592" t="s">
        <v>41</v>
      </c>
      <c r="D41" s="593"/>
      <c r="E41" s="11" t="s">
        <v>112</v>
      </c>
      <c r="F41" s="175" t="s">
        <v>323</v>
      </c>
      <c r="G41" s="179" t="s">
        <v>323</v>
      </c>
      <c r="H41" s="179">
        <v>5.0000000000000001E-3</v>
      </c>
      <c r="I41" s="393" t="s">
        <v>323</v>
      </c>
      <c r="J41" s="239">
        <f>IF(MAXA(F41:I41)&lt;0.003,"&lt;0.003",MAXA(F41:I41))</f>
        <v>5.0000000000000001E-3</v>
      </c>
      <c r="K41" s="179" t="str">
        <f>IF(MINA(F41:I41)&lt;0.003,"&lt;0.003",MINA(F41:I41))</f>
        <v>&lt;0.003</v>
      </c>
      <c r="L41" s="393" t="str">
        <f>IF(AVERAGEA(F41:I41)&lt;0.003,"&lt;0.003",AVERAGEA(F41:I41))</f>
        <v>&lt;0.003</v>
      </c>
      <c r="M41" s="596"/>
      <c r="N41" s="2"/>
    </row>
    <row r="42" spans="2:14" ht="12" customHeight="1" x14ac:dyDescent="0.15">
      <c r="B42" s="19">
        <v>29</v>
      </c>
      <c r="C42" s="592" t="s">
        <v>289</v>
      </c>
      <c r="D42" s="593"/>
      <c r="E42" s="11" t="s">
        <v>112</v>
      </c>
      <c r="F42" s="175">
        <v>1E-3</v>
      </c>
      <c r="G42" s="179">
        <v>3.0000000000000001E-3</v>
      </c>
      <c r="H42" s="179">
        <v>4.0000000000000001E-3</v>
      </c>
      <c r="I42" s="393">
        <v>1E-3</v>
      </c>
      <c r="J42" s="239">
        <f>IF(MAXA(F42:I42)&lt;0.001,"&lt;0.001",MAXA(F42:I42))</f>
        <v>4.0000000000000001E-3</v>
      </c>
      <c r="K42" s="179">
        <f>IF(MINA(F42:I42)&lt;0.001,"&lt;0.001",MINA(F42:I42))</f>
        <v>1E-3</v>
      </c>
      <c r="L42" s="393">
        <f>IF(AVERAGEA(F42:I42)&lt;0.001,"&lt;0.001",AVERAGEA(F42:I42))</f>
        <v>2.2500000000000003E-3</v>
      </c>
      <c r="M42" s="578"/>
      <c r="N42" s="2"/>
    </row>
    <row r="43" spans="2:14" ht="12" customHeight="1" x14ac:dyDescent="0.15">
      <c r="B43" s="19">
        <v>30</v>
      </c>
      <c r="C43" s="592" t="s">
        <v>290</v>
      </c>
      <c r="D43" s="593"/>
      <c r="E43" s="11" t="s">
        <v>115</v>
      </c>
      <c r="F43" s="175" t="s">
        <v>306</v>
      </c>
      <c r="G43" s="179" t="s">
        <v>306</v>
      </c>
      <c r="H43" s="179" t="s">
        <v>306</v>
      </c>
      <c r="I43" s="393" t="s">
        <v>306</v>
      </c>
      <c r="J43" s="239" t="str">
        <f>IF(MAXA(F43:I43)&lt;0.001,"&lt;0.001",MAXA(F43:I43))</f>
        <v>&lt;0.001</v>
      </c>
      <c r="K43" s="179" t="str">
        <f>IF(MINA(F43:I43)&lt;0.001,"&lt;0.001",MINA(F43:I43))</f>
        <v>&lt;0.001</v>
      </c>
      <c r="L43" s="393" t="str">
        <f>IF(AVERAGEA(F43:I43)&lt;0.001,"&lt;0.001",AVERAGEA(F43:I43))</f>
        <v>&lt;0.001</v>
      </c>
      <c r="M43" s="578"/>
      <c r="N43" s="2"/>
    </row>
    <row r="44" spans="2:14" ht="12" customHeight="1" x14ac:dyDescent="0.15">
      <c r="B44" s="19">
        <v>31</v>
      </c>
      <c r="C44" s="592" t="s">
        <v>291</v>
      </c>
      <c r="D44" s="593"/>
      <c r="E44" s="11" t="s">
        <v>116</v>
      </c>
      <c r="F44" s="175" t="s">
        <v>321</v>
      </c>
      <c r="G44" s="179" t="s">
        <v>321</v>
      </c>
      <c r="H44" s="179" t="s">
        <v>321</v>
      </c>
      <c r="I44" s="393" t="s">
        <v>321</v>
      </c>
      <c r="J44" s="239" t="str">
        <f>IF(MAXA(F44:I44)&lt;0.008,"&lt;0.008",MAXA(F44:I44))</f>
        <v>&lt;0.008</v>
      </c>
      <c r="K44" s="179" t="str">
        <f>IF(MINA(F44:I44)&lt;0.008,"&lt;0.008",MINA(F44:I44))</f>
        <v>&lt;0.008</v>
      </c>
      <c r="L44" s="393" t="str">
        <f>IF(AVERAGEA(F44:I44)&lt;0.008,"&lt;0.008",AVERAGEA(F44:I44))</f>
        <v>&lt;0.008</v>
      </c>
      <c r="M44" s="596"/>
      <c r="N44" s="2"/>
    </row>
    <row r="45" spans="2:14" ht="12" customHeight="1" x14ac:dyDescent="0.15">
      <c r="B45" s="19">
        <v>32</v>
      </c>
      <c r="C45" s="592" t="s">
        <v>42</v>
      </c>
      <c r="D45" s="593"/>
      <c r="E45" s="11" t="s">
        <v>110</v>
      </c>
      <c r="F45" s="200"/>
      <c r="G45" s="178"/>
      <c r="H45" s="178"/>
      <c r="I45" s="396"/>
      <c r="J45" s="277"/>
      <c r="K45" s="178"/>
      <c r="L45" s="396"/>
      <c r="M45" s="594" t="s">
        <v>60</v>
      </c>
      <c r="N45" s="2"/>
    </row>
    <row r="46" spans="2:14" ht="12" customHeight="1" x14ac:dyDescent="0.15">
      <c r="B46" s="19">
        <v>33</v>
      </c>
      <c r="C46" s="592" t="s">
        <v>43</v>
      </c>
      <c r="D46" s="593"/>
      <c r="E46" s="11" t="s">
        <v>89</v>
      </c>
      <c r="F46" s="200" t="s">
        <v>313</v>
      </c>
      <c r="G46" s="178">
        <v>0.03</v>
      </c>
      <c r="H46" s="178">
        <v>0.01</v>
      </c>
      <c r="I46" s="396">
        <v>0.01</v>
      </c>
      <c r="J46" s="277">
        <f>IF(MAXA(F46:I46)&lt;0.01,"&lt;0.01",MAXA(F46:I46))</f>
        <v>0.03</v>
      </c>
      <c r="K46" s="179" t="str">
        <f>IF(MINA(F46:I46)&lt;0.01,"&lt;0.01",MINA(F46:I46))</f>
        <v>&lt;0.01</v>
      </c>
      <c r="L46" s="396">
        <f>IF(AVERAGEA(F46:I46)&lt;0.01,"&lt;0.01",AVERAGEA(F46:I46))</f>
        <v>1.2500000000000001E-2</v>
      </c>
      <c r="M46" s="578"/>
      <c r="N46" s="2"/>
    </row>
    <row r="47" spans="2:14" ht="12" customHeight="1" x14ac:dyDescent="0.15">
      <c r="B47" s="19">
        <v>34</v>
      </c>
      <c r="C47" s="592" t="s">
        <v>44</v>
      </c>
      <c r="D47" s="593"/>
      <c r="E47" s="11" t="s">
        <v>95</v>
      </c>
      <c r="F47" s="175" t="s">
        <v>324</v>
      </c>
      <c r="G47" s="179" t="s">
        <v>324</v>
      </c>
      <c r="H47" s="179" t="s">
        <v>324</v>
      </c>
      <c r="I47" s="393" t="s">
        <v>324</v>
      </c>
      <c r="J47" s="239" t="str">
        <f>IF(MAXA(F47:I47)&lt;0.03,"&lt;0.03",MAXA(F47:I47))</f>
        <v>&lt;0.03</v>
      </c>
      <c r="K47" s="179" t="str">
        <f>IF(MINA(F47:I47)&lt;0.03,"&lt;0.03",MINA(F47:I47))</f>
        <v>&lt;0.03</v>
      </c>
      <c r="L47" s="393" t="str">
        <f>IF(AVERAGEA(F47:I47)&lt;0.03,"&lt;0.03",AVERAGEA(F47:I47))</f>
        <v>&lt;0.03</v>
      </c>
      <c r="M47" s="578"/>
      <c r="N47" s="2"/>
    </row>
    <row r="48" spans="2:14" ht="12" customHeight="1" x14ac:dyDescent="0.15">
      <c r="B48" s="19">
        <v>35</v>
      </c>
      <c r="C48" s="592" t="s">
        <v>45</v>
      </c>
      <c r="D48" s="593"/>
      <c r="E48" s="11" t="s">
        <v>110</v>
      </c>
      <c r="F48" s="200"/>
      <c r="G48" s="178"/>
      <c r="H48" s="178"/>
      <c r="I48" s="396"/>
      <c r="J48" s="277"/>
      <c r="K48" s="178"/>
      <c r="L48" s="396"/>
      <c r="M48" s="578"/>
      <c r="N48" s="2"/>
    </row>
    <row r="49" spans="2:14" ht="12" customHeight="1" x14ac:dyDescent="0.15">
      <c r="B49" s="19">
        <v>36</v>
      </c>
      <c r="C49" s="592" t="s">
        <v>46</v>
      </c>
      <c r="D49" s="593"/>
      <c r="E49" s="11" t="s">
        <v>65</v>
      </c>
      <c r="F49" s="196"/>
      <c r="G49" s="91"/>
      <c r="H49" s="91"/>
      <c r="I49" s="395"/>
      <c r="J49" s="452"/>
      <c r="K49" s="91"/>
      <c r="L49" s="395"/>
      <c r="M49" s="578"/>
      <c r="N49" s="2"/>
    </row>
    <row r="50" spans="2:14" ht="12" customHeight="1" x14ac:dyDescent="0.15">
      <c r="B50" s="19">
        <v>37</v>
      </c>
      <c r="C50" s="592" t="s">
        <v>47</v>
      </c>
      <c r="D50" s="593"/>
      <c r="E50" s="11" t="s">
        <v>107</v>
      </c>
      <c r="F50" s="175" t="s">
        <v>306</v>
      </c>
      <c r="G50" s="179" t="s">
        <v>306</v>
      </c>
      <c r="H50" s="179" t="s">
        <v>306</v>
      </c>
      <c r="I50" s="393" t="s">
        <v>561</v>
      </c>
      <c r="J50" s="239" t="str">
        <f>IF(MAXA(F50:I50)&lt;0.001,"&lt;0.001",MAXA(F50:I50))</f>
        <v>&lt;0.001</v>
      </c>
      <c r="K50" s="179" t="str">
        <f>IF(MINA(F50:I50)&lt;0.001,"&lt;0.001",MINA(F50:I50))</f>
        <v>&lt;0.001</v>
      </c>
      <c r="L50" s="393" t="str">
        <f>IF(AVERAGEA(F50:I50)&lt;0.001,"&lt;0.001",AVERAGEA(F50:I50))</f>
        <v>&lt;0.001</v>
      </c>
      <c r="M50" s="596"/>
      <c r="N50" s="2"/>
    </row>
    <row r="51" spans="2:14" ht="12" customHeight="1" x14ac:dyDescent="0.15">
      <c r="B51" s="19">
        <v>38</v>
      </c>
      <c r="C51" s="592" t="s">
        <v>48</v>
      </c>
      <c r="D51" s="593"/>
      <c r="E51" s="11" t="s">
        <v>65</v>
      </c>
      <c r="F51" s="182"/>
      <c r="G51" s="234"/>
      <c r="H51" s="234"/>
      <c r="I51" s="392"/>
      <c r="J51" s="186"/>
      <c r="K51" s="234"/>
      <c r="L51" s="392"/>
      <c r="M51" s="9" t="s">
        <v>499</v>
      </c>
      <c r="N51" s="2"/>
    </row>
    <row r="52" spans="2:14" ht="12" customHeight="1" x14ac:dyDescent="0.15">
      <c r="B52" s="19">
        <v>39</v>
      </c>
      <c r="C52" s="592" t="s">
        <v>49</v>
      </c>
      <c r="D52" s="593"/>
      <c r="E52" s="11" t="s">
        <v>66</v>
      </c>
      <c r="F52" s="182"/>
      <c r="G52" s="234"/>
      <c r="H52" s="234"/>
      <c r="I52" s="392"/>
      <c r="J52" s="186"/>
      <c r="K52" s="234"/>
      <c r="L52" s="392"/>
      <c r="M52" s="595" t="s">
        <v>500</v>
      </c>
      <c r="N52" s="2"/>
    </row>
    <row r="53" spans="2:14" ht="12" customHeight="1" x14ac:dyDescent="0.15">
      <c r="B53" s="19">
        <v>40</v>
      </c>
      <c r="C53" s="592" t="s">
        <v>50</v>
      </c>
      <c r="D53" s="593"/>
      <c r="E53" s="11" t="s">
        <v>67</v>
      </c>
      <c r="F53" s="182"/>
      <c r="G53" s="234"/>
      <c r="H53" s="234"/>
      <c r="I53" s="392"/>
      <c r="J53" s="186"/>
      <c r="K53" s="234"/>
      <c r="L53" s="392"/>
      <c r="M53" s="595"/>
      <c r="N53" s="2"/>
    </row>
    <row r="54" spans="2:14" ht="12" customHeight="1" x14ac:dyDescent="0.15">
      <c r="B54" s="19">
        <v>41</v>
      </c>
      <c r="C54" s="592" t="s">
        <v>51</v>
      </c>
      <c r="D54" s="593"/>
      <c r="E54" s="11" t="s">
        <v>89</v>
      </c>
      <c r="F54" s="200"/>
      <c r="G54" s="178"/>
      <c r="H54" s="178"/>
      <c r="I54" s="396"/>
      <c r="J54" s="277"/>
      <c r="K54" s="178"/>
      <c r="L54" s="396"/>
      <c r="M54" s="595" t="s">
        <v>62</v>
      </c>
      <c r="N54" s="2"/>
    </row>
    <row r="55" spans="2:14" ht="12" customHeight="1" x14ac:dyDescent="0.15">
      <c r="B55" s="19">
        <v>42</v>
      </c>
      <c r="C55" s="592" t="s">
        <v>279</v>
      </c>
      <c r="D55" s="593"/>
      <c r="E55" s="11" t="s">
        <v>117</v>
      </c>
      <c r="F55" s="201"/>
      <c r="G55" s="288"/>
      <c r="H55" s="288"/>
      <c r="I55" s="398"/>
      <c r="J55" s="279"/>
      <c r="K55" s="288"/>
      <c r="L55" s="398"/>
      <c r="M55" s="595"/>
      <c r="N55" s="2"/>
    </row>
    <row r="56" spans="2:14" ht="12" customHeight="1" x14ac:dyDescent="0.15">
      <c r="B56" s="19">
        <v>43</v>
      </c>
      <c r="C56" s="592" t="s">
        <v>280</v>
      </c>
      <c r="D56" s="593"/>
      <c r="E56" s="11" t="s">
        <v>117</v>
      </c>
      <c r="F56" s="201"/>
      <c r="G56" s="288"/>
      <c r="H56" s="288"/>
      <c r="I56" s="398"/>
      <c r="J56" s="419"/>
      <c r="K56" s="420"/>
      <c r="L56" s="421"/>
      <c r="M56" s="595"/>
      <c r="N56" s="2"/>
    </row>
    <row r="57" spans="2:14" ht="12" customHeight="1" x14ac:dyDescent="0.15">
      <c r="B57" s="19">
        <v>44</v>
      </c>
      <c r="C57" s="592" t="s">
        <v>52</v>
      </c>
      <c r="D57" s="593"/>
      <c r="E57" s="11" t="s">
        <v>96</v>
      </c>
      <c r="F57" s="175"/>
      <c r="G57" s="179"/>
      <c r="H57" s="179"/>
      <c r="I57" s="393"/>
      <c r="J57" s="239"/>
      <c r="K57" s="179"/>
      <c r="L57" s="393"/>
      <c r="M57" s="595"/>
      <c r="N57" s="2"/>
    </row>
    <row r="58" spans="2:14" ht="12" customHeight="1" x14ac:dyDescent="0.15">
      <c r="B58" s="19">
        <v>45</v>
      </c>
      <c r="C58" s="592" t="s">
        <v>53</v>
      </c>
      <c r="D58" s="593"/>
      <c r="E58" s="11" t="s">
        <v>118</v>
      </c>
      <c r="F58" s="202"/>
      <c r="G58" s="237"/>
      <c r="H58" s="237"/>
      <c r="I58" s="397"/>
      <c r="J58" s="278"/>
      <c r="K58" s="237"/>
      <c r="L58" s="397"/>
      <c r="M58" s="595"/>
      <c r="N58" s="2"/>
    </row>
    <row r="59" spans="2:14" ht="12" customHeight="1" x14ac:dyDescent="0.15">
      <c r="B59" s="19">
        <v>46</v>
      </c>
      <c r="C59" s="592" t="s">
        <v>128</v>
      </c>
      <c r="D59" s="593"/>
      <c r="E59" s="11" t="s">
        <v>97</v>
      </c>
      <c r="F59" s="175" t="s">
        <v>325</v>
      </c>
      <c r="G59" s="91">
        <v>0.6</v>
      </c>
      <c r="H59" s="91">
        <v>0.8</v>
      </c>
      <c r="I59" s="395" t="s">
        <v>562</v>
      </c>
      <c r="J59" s="452">
        <f>IF(MAXA(F59:I59)&lt;0.3,"&lt;0.3",MAXA(F59:I59))</f>
        <v>0.8</v>
      </c>
      <c r="K59" s="91" t="str">
        <f>IF(MINA(F59:I59)&lt;0.3,"&lt;0.3",MINA(F59:I59))</f>
        <v>&lt;0.3</v>
      </c>
      <c r="L59" s="395">
        <f>IF(AVERAGEA(F59:I59)&lt;0.3,"&lt;0.3",AVERAGEA(F59:I59))</f>
        <v>0.35</v>
      </c>
      <c r="M59" s="595" t="s">
        <v>63</v>
      </c>
      <c r="N59" s="2"/>
    </row>
    <row r="60" spans="2:14" ht="12" customHeight="1" x14ac:dyDescent="0.15">
      <c r="B60" s="19">
        <v>47</v>
      </c>
      <c r="C60" s="592" t="s">
        <v>54</v>
      </c>
      <c r="D60" s="593"/>
      <c r="E60" s="11" t="s">
        <v>68</v>
      </c>
      <c r="F60" s="196"/>
      <c r="G60" s="91"/>
      <c r="H60" s="91"/>
      <c r="I60" s="395"/>
      <c r="J60" s="452"/>
      <c r="K60" s="91"/>
      <c r="L60" s="395"/>
      <c r="M60" s="595"/>
      <c r="N60" s="2"/>
    </row>
    <row r="61" spans="2:14" ht="12" customHeight="1" x14ac:dyDescent="0.15">
      <c r="B61" s="19">
        <v>48</v>
      </c>
      <c r="C61" s="592" t="s">
        <v>55</v>
      </c>
      <c r="D61" s="593"/>
      <c r="E61" s="11" t="s">
        <v>121</v>
      </c>
      <c r="F61" s="182"/>
      <c r="G61" s="234"/>
      <c r="H61" s="234"/>
      <c r="I61" s="392"/>
      <c r="J61" s="186"/>
      <c r="K61" s="234"/>
      <c r="L61" s="392"/>
      <c r="M61" s="595"/>
      <c r="N61" s="2"/>
    </row>
    <row r="62" spans="2:14" ht="12" customHeight="1" x14ac:dyDescent="0.15">
      <c r="B62" s="19">
        <v>49</v>
      </c>
      <c r="C62" s="592" t="s">
        <v>56</v>
      </c>
      <c r="D62" s="593"/>
      <c r="E62" s="11" t="s">
        <v>121</v>
      </c>
      <c r="F62" s="182"/>
      <c r="G62" s="234"/>
      <c r="H62" s="234"/>
      <c r="I62" s="392"/>
      <c r="J62" s="186"/>
      <c r="K62" s="234"/>
      <c r="L62" s="392"/>
      <c r="M62" s="595"/>
      <c r="N62" s="2"/>
    </row>
    <row r="63" spans="2:14" ht="12" customHeight="1" x14ac:dyDescent="0.15">
      <c r="B63" s="19">
        <v>50</v>
      </c>
      <c r="C63" s="592" t="s">
        <v>57</v>
      </c>
      <c r="D63" s="593"/>
      <c r="E63" s="11" t="s">
        <v>119</v>
      </c>
      <c r="F63" s="196" t="s">
        <v>326</v>
      </c>
      <c r="G63" s="91">
        <v>0.7</v>
      </c>
      <c r="H63" s="91" t="s">
        <v>326</v>
      </c>
      <c r="I63" s="393" t="s">
        <v>326</v>
      </c>
      <c r="J63" s="452">
        <f>IF(MAXA(F63:I63)&lt;0.5,"&lt;0.5",MAXA(F63:I63))</f>
        <v>0.7</v>
      </c>
      <c r="K63" s="91" t="str">
        <f>IF(MINA(F63:I63)&lt;0.5,"&lt;0.5",MINA(F63:I63))</f>
        <v>&lt;0.5</v>
      </c>
      <c r="L63" s="395" t="str">
        <f>IF(AVERAGEA(F63:I63)&lt;0.5,"&lt;0.5",AVERAGEA(F63:I63))</f>
        <v>&lt;0.5</v>
      </c>
      <c r="M63" s="595"/>
      <c r="N63" s="2"/>
    </row>
    <row r="64" spans="2:14" ht="12" customHeight="1" thickBot="1" x14ac:dyDescent="0.2">
      <c r="B64" s="19">
        <v>51</v>
      </c>
      <c r="C64" s="606" t="s">
        <v>58</v>
      </c>
      <c r="D64" s="607"/>
      <c r="E64" s="25" t="s">
        <v>120</v>
      </c>
      <c r="F64" s="196" t="s">
        <v>310</v>
      </c>
      <c r="G64" s="261" t="s">
        <v>310</v>
      </c>
      <c r="H64" s="369" t="s">
        <v>310</v>
      </c>
      <c r="I64" s="464" t="s">
        <v>563</v>
      </c>
      <c r="J64" s="453" t="str">
        <f>IF(MAXA(F64:I64)&lt;0.1,"&lt;0.1",MAXA(F64:I64))</f>
        <v>&lt;0.1</v>
      </c>
      <c r="K64" s="456" t="str">
        <f>IF(MINA(F64:I64)&lt;0.1,"&lt;0.1",MINA(F64:I64))</f>
        <v>&lt;0.1</v>
      </c>
      <c r="L64" s="399" t="str">
        <f>IF(AVERAGEA(F64:I64)&lt;0.1,"&lt;0.1",AVERAGEA(F64:I64))</f>
        <v>&lt;0.1</v>
      </c>
      <c r="M64" s="599"/>
      <c r="N64" s="2"/>
    </row>
    <row r="65" spans="2:14" ht="15" customHeight="1" thickBot="1" x14ac:dyDescent="0.2">
      <c r="B65" s="603" t="s">
        <v>127</v>
      </c>
      <c r="C65" s="604"/>
      <c r="D65" s="604"/>
      <c r="E65" s="605"/>
      <c r="F65" s="166" t="s">
        <v>243</v>
      </c>
      <c r="G65" s="215" t="s">
        <v>196</v>
      </c>
      <c r="H65" s="215" t="s">
        <v>196</v>
      </c>
      <c r="I65" s="402" t="s">
        <v>196</v>
      </c>
      <c r="K65" s="5"/>
      <c r="L65" s="104"/>
      <c r="N65" s="2"/>
    </row>
    <row r="66" spans="2:14" ht="12" customHeight="1" x14ac:dyDescent="0.15">
      <c r="C66" s="1"/>
      <c r="D66" s="1"/>
      <c r="E66" s="4"/>
      <c r="F66" s="4"/>
      <c r="G66" s="4"/>
      <c r="H66" s="4"/>
      <c r="I66" s="4"/>
      <c r="J66" s="4"/>
      <c r="K66" s="4"/>
      <c r="L66" s="4"/>
      <c r="N66" s="4"/>
    </row>
    <row r="67" spans="2:14" ht="12" customHeight="1" x14ac:dyDescent="0.15">
      <c r="B67" s="1"/>
      <c r="C67" s="3" t="s">
        <v>495</v>
      </c>
      <c r="D67" s="27"/>
      <c r="E67" s="27"/>
      <c r="F67" s="27"/>
      <c r="G67" s="27"/>
      <c r="H67" s="1"/>
      <c r="I67" s="1"/>
      <c r="J67" s="4"/>
      <c r="K67" s="1"/>
      <c r="L67" s="4"/>
      <c r="M67" s="1"/>
    </row>
    <row r="68" spans="2:14" ht="10.5" customHeight="1" x14ac:dyDescent="0.15">
      <c r="C68" s="27"/>
      <c r="D68" s="27"/>
      <c r="E68" s="27"/>
      <c r="F68" s="27"/>
      <c r="G68" s="27"/>
    </row>
    <row r="69" spans="2:14" ht="10.5" customHeight="1" x14ac:dyDescent="0.15"/>
    <row r="70" spans="2:14" ht="10.5" customHeight="1" x14ac:dyDescent="0.15"/>
    <row r="71" spans="2:14" ht="10.5" customHeight="1" x14ac:dyDescent="0.15"/>
    <row r="72" spans="2:14" ht="10.5" customHeight="1" x14ac:dyDescent="0.15"/>
    <row r="73" spans="2:14" ht="10.5" customHeight="1" x14ac:dyDescent="0.15"/>
    <row r="74" spans="2:14" ht="10.5" customHeight="1" x14ac:dyDescent="0.15"/>
    <row r="75" spans="2:14" ht="10.5" customHeight="1" x14ac:dyDescent="0.15"/>
    <row r="76" spans="2:14" ht="10.5" customHeight="1" x14ac:dyDescent="0.15"/>
    <row r="77" spans="2:14" ht="10.5" customHeight="1" x14ac:dyDescent="0.15"/>
    <row r="78" spans="2:14" ht="10.5" customHeight="1" x14ac:dyDescent="0.15"/>
    <row r="79" spans="2:14" ht="15" customHeight="1" x14ac:dyDescent="0.15"/>
    <row r="80" spans="2:14" ht="5.45" customHeight="1" x14ac:dyDescent="0.15"/>
  </sheetData>
  <mergeCells count="80">
    <mergeCell ref="M54:M58"/>
    <mergeCell ref="M59:M64"/>
    <mergeCell ref="F13:I13"/>
    <mergeCell ref="C38:D38"/>
    <mergeCell ref="C39:D39"/>
    <mergeCell ref="C40:D40"/>
    <mergeCell ref="C30:D30"/>
    <mergeCell ref="C19:D19"/>
    <mergeCell ref="C21:D21"/>
    <mergeCell ref="C27:D27"/>
    <mergeCell ref="C28:D28"/>
    <mergeCell ref="C26:D26"/>
    <mergeCell ref="C29:D29"/>
    <mergeCell ref="C22:D22"/>
    <mergeCell ref="C58:D58"/>
    <mergeCell ref="C59:D59"/>
    <mergeCell ref="B65:E65"/>
    <mergeCell ref="B13:D13"/>
    <mergeCell ref="C14:D14"/>
    <mergeCell ref="C17:D17"/>
    <mergeCell ref="C18:D18"/>
    <mergeCell ref="C23:D23"/>
    <mergeCell ref="C24:D24"/>
    <mergeCell ref="C25:D25"/>
    <mergeCell ref="C20:D20"/>
    <mergeCell ref="C45:D45"/>
    <mergeCell ref="C41:D41"/>
    <mergeCell ref="C31:D31"/>
    <mergeCell ref="C32:D32"/>
    <mergeCell ref="C34:D34"/>
    <mergeCell ref="C37:D37"/>
    <mergeCell ref="C64:D64"/>
    <mergeCell ref="M6:M12"/>
    <mergeCell ref="L6:L9"/>
    <mergeCell ref="M52:M53"/>
    <mergeCell ref="M27:M33"/>
    <mergeCell ref="M14:M15"/>
    <mergeCell ref="M34:M44"/>
    <mergeCell ref="J13:L13"/>
    <mergeCell ref="M22:M26"/>
    <mergeCell ref="M45:M50"/>
    <mergeCell ref="M16:M21"/>
    <mergeCell ref="G3:K3"/>
    <mergeCell ref="G4:K4"/>
    <mergeCell ref="D10:E10"/>
    <mergeCell ref="D11:E11"/>
    <mergeCell ref="D6:E6"/>
    <mergeCell ref="J6:J9"/>
    <mergeCell ref="K6:K9"/>
    <mergeCell ref="B4:C4"/>
    <mergeCell ref="C15:D15"/>
    <mergeCell ref="C16:D16"/>
    <mergeCell ref="D8:E8"/>
    <mergeCell ref="D9:E9"/>
    <mergeCell ref="D12:E12"/>
    <mergeCell ref="B6:C12"/>
    <mergeCell ref="D7:E7"/>
    <mergeCell ref="B1:H1"/>
    <mergeCell ref="C61:D61"/>
    <mergeCell ref="C62:D62"/>
    <mergeCell ref="C46:D46"/>
    <mergeCell ref="C47:D47"/>
    <mergeCell ref="C49:D49"/>
    <mergeCell ref="C48:D48"/>
    <mergeCell ref="C33:D33"/>
    <mergeCell ref="C35:D35"/>
    <mergeCell ref="C36:D36"/>
    <mergeCell ref="C57:D57"/>
    <mergeCell ref="C50:D50"/>
    <mergeCell ref="C51:D51"/>
    <mergeCell ref="C42:D42"/>
    <mergeCell ref="C43:D43"/>
    <mergeCell ref="C44:D44"/>
    <mergeCell ref="C60:D60"/>
    <mergeCell ref="C52:D52"/>
    <mergeCell ref="C53:D53"/>
    <mergeCell ref="C63:D63"/>
    <mergeCell ref="C54:D54"/>
    <mergeCell ref="C55:D55"/>
    <mergeCell ref="C56:D56"/>
  </mergeCells>
  <phoneticPr fontId="4"/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計画</vt:lpstr>
      <vt:lpstr>毎日検査</vt:lpstr>
      <vt:lpstr>田沢川</vt:lpstr>
      <vt:lpstr>ダム</vt:lpstr>
      <vt:lpstr>原水（基準等） </vt:lpstr>
      <vt:lpstr>原水（他）</vt:lpstr>
      <vt:lpstr>原水（農薬）</vt:lpstr>
      <vt:lpstr>沈殿水</vt:lpstr>
      <vt:lpstr>ろ過水</vt:lpstr>
      <vt:lpstr>浄水（基準）</vt:lpstr>
      <vt:lpstr>浄水（他）</vt:lpstr>
      <vt:lpstr>浄水（農薬）</vt:lpstr>
      <vt:lpstr>松山（基準）</vt:lpstr>
      <vt:lpstr>松山（他）</vt:lpstr>
      <vt:lpstr>酒田（基準）</vt:lpstr>
      <vt:lpstr>平田（基準）</vt:lpstr>
      <vt:lpstr>ダム!Print_Area</vt:lpstr>
      <vt:lpstr>ろ過水!Print_Area</vt:lpstr>
      <vt:lpstr>計画!Print_Area</vt:lpstr>
      <vt:lpstr>'原水（基準等） '!Print_Area</vt:lpstr>
      <vt:lpstr>'原水（他）'!Print_Area</vt:lpstr>
      <vt:lpstr>'原水（農薬）'!Print_Area</vt:lpstr>
      <vt:lpstr>'酒田（基準）'!Print_Area</vt:lpstr>
      <vt:lpstr>'松山（基準）'!Print_Area</vt:lpstr>
      <vt:lpstr>'松山（他）'!Print_Area</vt:lpstr>
      <vt:lpstr>'浄水（基準）'!Print_Area</vt:lpstr>
      <vt:lpstr>'浄水（他）'!Print_Area</vt:lpstr>
      <vt:lpstr>'浄水（農薬）'!Print_Area</vt:lpstr>
      <vt:lpstr>沈殿水!Print_Area</vt:lpstr>
      <vt:lpstr>田沢川!Print_Area</vt:lpstr>
      <vt:lpstr>'平田（基準）'!Print_Area</vt:lpstr>
      <vt:lpstr>毎日検査!Print_Area</vt:lpstr>
    </vt:vector>
  </TitlesOfParts>
  <Company>水道管理課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suikan5</dc:creator>
  <cp:lastModifiedBy>user</cp:lastModifiedBy>
  <cp:lastPrinted>2024-04-18T03:40:26Z</cp:lastPrinted>
  <dcterms:created xsi:type="dcterms:W3CDTF">2002-06-05T06:48:03Z</dcterms:created>
  <dcterms:modified xsi:type="dcterms:W3CDTF">2024-06-19T08:17:44Z</dcterms:modified>
</cp:coreProperties>
</file>